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Q:\qdocs\"/>
    </mc:Choice>
  </mc:AlternateContent>
  <bookViews>
    <workbookView xWindow="-6630" yWindow="465" windowWidth="25605" windowHeight="14445"/>
  </bookViews>
  <sheets>
    <sheet name="Entry page" sheetId="10" r:id="rId1"/>
    <sheet name="QC thin lift" sheetId="11" r:id="rId2"/>
    <sheet name="QA thin lift" sheetId="12" r:id="rId3"/>
    <sheet name="2" sheetId="3" r:id="rId4"/>
    <sheet name="Sheet2" sheetId="2" r:id="rId5"/>
  </sheets>
  <definedNames>
    <definedName name="_xlnm.Print_Area" localSheetId="0">'Entry page'!$C$2:$Z$96</definedName>
    <definedName name="Z_373B6099_BBFB_4C6F_8508_763C02BEB895_.wvu.PrintArea" localSheetId="0" hidden="1">'Entry page'!$C$2:$Z$96</definedName>
  </definedNames>
  <calcPr calcId="152511"/>
  <customWorkbookViews>
    <customWorkbookView name="input form" guid="{373B6099-BBFB-4C6F-8508-763C02BEB895}" includeHiddenRowCol="0" maximized="1" windowWidth="1280" windowHeight="799" activeSheetId="10"/>
  </customWorkbookViews>
</workbook>
</file>

<file path=xl/calcChain.xml><?xml version="1.0" encoding="utf-8"?>
<calcChain xmlns="http://schemas.openxmlformats.org/spreadsheetml/2006/main">
  <c r="X43" i="10" l="1"/>
  <c r="X16" i="10"/>
  <c r="X57" i="10"/>
  <c r="X49" i="10"/>
  <c r="X50" i="10"/>
  <c r="X51" i="10"/>
  <c r="X52" i="10"/>
  <c r="X53" i="10"/>
  <c r="X54" i="10"/>
  <c r="X55" i="10"/>
  <c r="X56" i="10"/>
  <c r="X48" i="10"/>
  <c r="V48" i="10"/>
  <c r="C66" i="10" l="1"/>
  <c r="C63" i="10"/>
  <c r="C60" i="10"/>
  <c r="AW17" i="10" l="1"/>
  <c r="AW18" i="10"/>
  <c r="AW19" i="10"/>
  <c r="AW20" i="10"/>
  <c r="AW21" i="10"/>
  <c r="AW22" i="10"/>
  <c r="AW23" i="10"/>
  <c r="AW24" i="10"/>
  <c r="AW25" i="10"/>
  <c r="AW26" i="10"/>
  <c r="AW27" i="10"/>
  <c r="AW28" i="10"/>
  <c r="AW29" i="10"/>
  <c r="AW30" i="10"/>
  <c r="AW31" i="10"/>
  <c r="AW32" i="10"/>
  <c r="AW33" i="10"/>
  <c r="AW34" i="10"/>
  <c r="AW35" i="10"/>
  <c r="AW36" i="10"/>
  <c r="AW37" i="10"/>
  <c r="AW38" i="10"/>
  <c r="AW39" i="10"/>
  <c r="AW40" i="10"/>
  <c r="AW41" i="10"/>
  <c r="AW42" i="10"/>
  <c r="AW43" i="10"/>
  <c r="AW44" i="10"/>
  <c r="AW45" i="10"/>
  <c r="AW16" i="10"/>
  <c r="BJ39" i="10"/>
  <c r="K5" i="10" l="1"/>
  <c r="R93" i="10" l="1"/>
  <c r="M5" i="10"/>
  <c r="M38" i="10" l="1"/>
  <c r="J84" i="10" l="1"/>
  <c r="D84" i="10"/>
  <c r="J75" i="10"/>
  <c r="D75" i="10"/>
  <c r="D85" i="10"/>
  <c r="J85" i="10"/>
  <c r="D88" i="10"/>
  <c r="G88" i="10"/>
  <c r="J88" i="10"/>
  <c r="M88" i="10"/>
  <c r="D89" i="10"/>
  <c r="G89" i="10"/>
  <c r="J89" i="10"/>
  <c r="M89" i="10"/>
  <c r="D90" i="10"/>
  <c r="G90" i="10"/>
  <c r="J90" i="10"/>
  <c r="T16" i="10"/>
  <c r="T57" i="10" l="1"/>
  <c r="AH49" i="10" l="1"/>
  <c r="AH50" i="10"/>
  <c r="AH51" i="10"/>
  <c r="AH52" i="10"/>
  <c r="AH53" i="10"/>
  <c r="AH54" i="10"/>
  <c r="AH55" i="10"/>
  <c r="AH56" i="10"/>
  <c r="AH57" i="10"/>
  <c r="AH48" i="10"/>
  <c r="AH36" i="10"/>
  <c r="AH37" i="10"/>
  <c r="AH38" i="10"/>
  <c r="AH39" i="10"/>
  <c r="AH40" i="10"/>
  <c r="AH41" i="10"/>
  <c r="AH42" i="10"/>
  <c r="AH43" i="10"/>
  <c r="AH44" i="10"/>
  <c r="AH45" i="10"/>
  <c r="AH17" i="10"/>
  <c r="AH18" i="10"/>
  <c r="AH19" i="10"/>
  <c r="AH20" i="10"/>
  <c r="AH21" i="10"/>
  <c r="AH22" i="10"/>
  <c r="AH23" i="10"/>
  <c r="AH24" i="10"/>
  <c r="AH25" i="10"/>
  <c r="AH26" i="10"/>
  <c r="AH27" i="10"/>
  <c r="AH28" i="10"/>
  <c r="AH29" i="10"/>
  <c r="AH30" i="10"/>
  <c r="AH31" i="10"/>
  <c r="AH32" i="10"/>
  <c r="AH33" i="10"/>
  <c r="AH34" i="10"/>
  <c r="AH35" i="10"/>
  <c r="AH16" i="10"/>
  <c r="AG49" i="10"/>
  <c r="AG50" i="10"/>
  <c r="AG51" i="10"/>
  <c r="AG52" i="10"/>
  <c r="AG53" i="10"/>
  <c r="AG54" i="10"/>
  <c r="AG55" i="10"/>
  <c r="AG56" i="10"/>
  <c r="AG57" i="10"/>
  <c r="AG48" i="10"/>
  <c r="AG29" i="10"/>
  <c r="AG30" i="10"/>
  <c r="AG31" i="10"/>
  <c r="AG32" i="10"/>
  <c r="AG33" i="10"/>
  <c r="AG34" i="10"/>
  <c r="AG35" i="10"/>
  <c r="AG36" i="10"/>
  <c r="AG37" i="10"/>
  <c r="AG38" i="10"/>
  <c r="AG39" i="10"/>
  <c r="AG40" i="10"/>
  <c r="AG41" i="10"/>
  <c r="AG42" i="10"/>
  <c r="AG43" i="10"/>
  <c r="AG44" i="10"/>
  <c r="AG45" i="10"/>
  <c r="AG17" i="10"/>
  <c r="AG18" i="10"/>
  <c r="AG19" i="10"/>
  <c r="AG20" i="10"/>
  <c r="AG21" i="10"/>
  <c r="AG22" i="10"/>
  <c r="AG23" i="10"/>
  <c r="AG24" i="10"/>
  <c r="AG25" i="10"/>
  <c r="AG26" i="10"/>
  <c r="AG27" i="10"/>
  <c r="AG28" i="10"/>
  <c r="AG16" i="10"/>
  <c r="AF49" i="10"/>
  <c r="AF50" i="10"/>
  <c r="AF51" i="10"/>
  <c r="AF52" i="10"/>
  <c r="AF53" i="10"/>
  <c r="AF54" i="10"/>
  <c r="AF55" i="10"/>
  <c r="AF56" i="10"/>
  <c r="AF57" i="10"/>
  <c r="AF48" i="10"/>
  <c r="AF41" i="10"/>
  <c r="AF42" i="10"/>
  <c r="AF43" i="10"/>
  <c r="AF44" i="10"/>
  <c r="AF45" i="10"/>
  <c r="AF30" i="10"/>
  <c r="AF31" i="10"/>
  <c r="AF32" i="10"/>
  <c r="AF33" i="10"/>
  <c r="AF34" i="10"/>
  <c r="AF35" i="10"/>
  <c r="AF36" i="10"/>
  <c r="AF37" i="10"/>
  <c r="AF38" i="10"/>
  <c r="AF39" i="10"/>
  <c r="AF40" i="10"/>
  <c r="AF17" i="10"/>
  <c r="AF18" i="10"/>
  <c r="AF19" i="10"/>
  <c r="AF20" i="10"/>
  <c r="AF21" i="10"/>
  <c r="AF22" i="10"/>
  <c r="AF23" i="10"/>
  <c r="AF16" i="10"/>
  <c r="AS15" i="10"/>
  <c r="AW15" i="10" s="1"/>
  <c r="BA15" i="10" s="1"/>
  <c r="BE15" i="10" s="1"/>
  <c r="AO50" i="10"/>
  <c r="AS50" i="10" s="1"/>
  <c r="AW50" i="10" s="1"/>
  <c r="BA50" i="10" s="1"/>
  <c r="BE50" i="10" s="1"/>
  <c r="AF29" i="10"/>
  <c r="L47" i="10"/>
  <c r="L15" i="10"/>
  <c r="AO68" i="10" l="1"/>
  <c r="AG71" i="10"/>
  <c r="AH71" i="10"/>
  <c r="AH74" i="10"/>
  <c r="AG74" i="10"/>
  <c r="AG70" i="10"/>
  <c r="AH70" i="10"/>
  <c r="AF28" i="10"/>
  <c r="AF24" i="10"/>
  <c r="AF27" i="10"/>
  <c r="AF26" i="10"/>
  <c r="AH73" i="10"/>
  <c r="AF25" i="10"/>
  <c r="AG73" i="10"/>
  <c r="AH46" i="10"/>
  <c r="AQ94" i="10"/>
  <c r="AT94" i="10" s="1"/>
  <c r="AQ95" i="10"/>
  <c r="AT95" i="10" s="1"/>
  <c r="AQ96" i="10"/>
  <c r="AT96" i="10" s="1"/>
  <c r="AQ97" i="10"/>
  <c r="AQ98" i="10"/>
  <c r="AT98" i="10" s="1"/>
  <c r="AQ77" i="10"/>
  <c r="AT77" i="10" s="1"/>
  <c r="AQ78" i="10"/>
  <c r="AT78" i="10" s="1"/>
  <c r="AQ79" i="10"/>
  <c r="AQ80" i="10"/>
  <c r="AT80" i="10" s="1"/>
  <c r="AQ81" i="10"/>
  <c r="AT81" i="10" s="1"/>
  <c r="AQ82" i="10"/>
  <c r="AT82" i="10" s="1"/>
  <c r="AQ83" i="10"/>
  <c r="AQ84" i="10"/>
  <c r="AT84" i="10" s="1"/>
  <c r="AQ85" i="10"/>
  <c r="AT85" i="10" s="1"/>
  <c r="AQ86" i="10"/>
  <c r="AT86" i="10" s="1"/>
  <c r="AQ87" i="10"/>
  <c r="AT87" i="10" s="1"/>
  <c r="AQ88" i="10"/>
  <c r="AT88" i="10" s="1"/>
  <c r="AQ89" i="10"/>
  <c r="AT89" i="10" s="1"/>
  <c r="AQ90" i="10"/>
  <c r="AT90" i="10" s="1"/>
  <c r="AQ91" i="10"/>
  <c r="AT91" i="10" s="1"/>
  <c r="AQ92" i="10"/>
  <c r="AT92" i="10" s="1"/>
  <c r="AQ93" i="10"/>
  <c r="AT93" i="10" s="1"/>
  <c r="AQ70" i="10"/>
  <c r="AT70" i="10" s="1"/>
  <c r="AQ71" i="10"/>
  <c r="AQ72" i="10"/>
  <c r="AT72" i="10" s="1"/>
  <c r="AQ73" i="10"/>
  <c r="AT73" i="10" s="1"/>
  <c r="AQ74" i="10"/>
  <c r="AT74" i="10" s="1"/>
  <c r="AQ75" i="10"/>
  <c r="AT75" i="10" s="1"/>
  <c r="AQ76" i="10"/>
  <c r="AT76" i="10" s="1"/>
  <c r="AQ69" i="10"/>
  <c r="AT69" i="10" s="1"/>
  <c r="AK77" i="10"/>
  <c r="AS77" i="10" s="1"/>
  <c r="AK78" i="10"/>
  <c r="AS78" i="10" s="1"/>
  <c r="AK161" i="10"/>
  <c r="AK162" i="10"/>
  <c r="AK163" i="10"/>
  <c r="AK164" i="10"/>
  <c r="AK165" i="10"/>
  <c r="AK166" i="10"/>
  <c r="BE166" i="10" s="1"/>
  <c r="AK167" i="10"/>
  <c r="BE167" i="10" s="1"/>
  <c r="AK168" i="10"/>
  <c r="BC168" i="10"/>
  <c r="AK160" i="10"/>
  <c r="AY168" i="10"/>
  <c r="BB168" i="10" s="1"/>
  <c r="AU168" i="10"/>
  <c r="AX168" i="10" s="1"/>
  <c r="AQ168" i="10"/>
  <c r="AK125" i="10"/>
  <c r="AK126" i="10"/>
  <c r="AK127" i="10"/>
  <c r="AK128" i="10"/>
  <c r="AK129" i="10"/>
  <c r="AK130" i="10"/>
  <c r="AK131" i="10"/>
  <c r="AK132" i="10"/>
  <c r="AK133" i="10"/>
  <c r="AK134" i="10"/>
  <c r="AK135" i="10"/>
  <c r="AK136" i="10"/>
  <c r="AK137" i="10"/>
  <c r="AK138" i="10"/>
  <c r="BA138" i="10" s="1"/>
  <c r="AK139" i="10"/>
  <c r="AK140" i="10"/>
  <c r="AO140" i="10" s="1"/>
  <c r="AK141" i="10"/>
  <c r="AO141" i="10" s="1"/>
  <c r="AK142" i="10"/>
  <c r="AK143" i="10"/>
  <c r="AK144" i="10"/>
  <c r="AO144" i="10" s="1"/>
  <c r="AK145" i="10"/>
  <c r="AO145" i="10" s="1"/>
  <c r="AK146" i="10"/>
  <c r="AK147" i="10"/>
  <c r="AK148" i="10"/>
  <c r="AO148" i="10" s="1"/>
  <c r="AK149" i="10"/>
  <c r="AO149" i="10" s="1"/>
  <c r="AK150" i="10"/>
  <c r="AK151" i="10"/>
  <c r="AO151" i="10" s="1"/>
  <c r="AK152" i="10"/>
  <c r="AO152" i="10" s="1"/>
  <c r="AK153" i="10"/>
  <c r="AO153" i="10" s="1"/>
  <c r="AK124" i="10"/>
  <c r="BA144" i="10"/>
  <c r="BA148" i="10"/>
  <c r="BA152" i="10"/>
  <c r="BA140" i="10"/>
  <c r="BA141" i="10"/>
  <c r="AW140" i="10"/>
  <c r="AW141" i="10"/>
  <c r="AW144" i="10"/>
  <c r="AW145" i="10"/>
  <c r="AW149" i="10"/>
  <c r="AW151" i="10"/>
  <c r="AW153" i="10"/>
  <c r="AS140" i="10"/>
  <c r="AS141" i="10"/>
  <c r="AS144" i="10"/>
  <c r="AS145" i="10"/>
  <c r="AS148" i="10"/>
  <c r="AS149" i="10"/>
  <c r="AS152" i="10"/>
  <c r="AK106" i="10"/>
  <c r="AK107" i="10"/>
  <c r="AK108" i="10"/>
  <c r="AK109" i="10"/>
  <c r="AK110" i="10"/>
  <c r="AK111" i="10"/>
  <c r="AK112" i="10"/>
  <c r="AK113" i="10"/>
  <c r="AW113" i="10" s="1"/>
  <c r="AU113" i="10"/>
  <c r="AK105" i="10"/>
  <c r="BC113" i="10"/>
  <c r="BE113" i="10"/>
  <c r="AY113" i="10"/>
  <c r="BA113" i="10"/>
  <c r="AK84" i="10"/>
  <c r="AK85" i="10"/>
  <c r="BE85" i="10" s="1"/>
  <c r="AK86" i="10"/>
  <c r="BE86" i="10" s="1"/>
  <c r="AK87" i="10"/>
  <c r="AK88" i="10"/>
  <c r="AW88" i="10" s="1"/>
  <c r="AK89" i="10"/>
  <c r="BE89" i="10" s="1"/>
  <c r="AK90" i="10"/>
  <c r="BE90" i="10" s="1"/>
  <c r="AK91" i="10"/>
  <c r="AK92" i="10"/>
  <c r="AK93" i="10"/>
  <c r="BE93" i="10" s="1"/>
  <c r="AK94" i="10"/>
  <c r="BE94" i="10" s="1"/>
  <c r="AK95" i="10"/>
  <c r="AK96" i="10"/>
  <c r="BA96" i="10" s="1"/>
  <c r="AK97" i="10"/>
  <c r="BE97" i="10" s="1"/>
  <c r="AK98" i="10"/>
  <c r="BE98" i="10" s="1"/>
  <c r="AK70" i="10"/>
  <c r="AS70" i="10" s="1"/>
  <c r="AK71" i="10"/>
  <c r="AK72" i="10"/>
  <c r="AK73" i="10"/>
  <c r="AS73" i="10" s="1"/>
  <c r="AK74" i="10"/>
  <c r="AS74" i="10" s="1"/>
  <c r="AK75" i="10"/>
  <c r="AK76" i="10"/>
  <c r="AK79" i="10"/>
  <c r="AK80" i="10"/>
  <c r="AK81" i="10"/>
  <c r="AS81" i="10" s="1"/>
  <c r="AK82" i="10"/>
  <c r="AK83" i="10"/>
  <c r="AS83" i="10" s="1"/>
  <c r="BE83" i="10"/>
  <c r="AK69" i="10"/>
  <c r="AS69" i="10" s="1"/>
  <c r="BA89" i="10"/>
  <c r="BA93" i="10"/>
  <c r="BA97" i="10"/>
  <c r="BA83" i="10"/>
  <c r="BA85" i="10"/>
  <c r="BA86" i="10"/>
  <c r="BA88" i="10"/>
  <c r="AW83" i="10"/>
  <c r="AW85" i="10"/>
  <c r="AW89" i="10"/>
  <c r="AW93" i="10"/>
  <c r="AW97" i="10"/>
  <c r="AQ113" i="10"/>
  <c r="AS113" i="10"/>
  <c r="AU106" i="10"/>
  <c r="AU107" i="10"/>
  <c r="AU108" i="10"/>
  <c r="AW108" i="10" s="1"/>
  <c r="AU109" i="10"/>
  <c r="AX109" i="10" s="1"/>
  <c r="AU110" i="10"/>
  <c r="AU111" i="10"/>
  <c r="AU112" i="10"/>
  <c r="AW112" i="10" s="1"/>
  <c r="AU105" i="10"/>
  <c r="AX105" i="10" s="1"/>
  <c r="AQ106" i="10"/>
  <c r="AQ107" i="10"/>
  <c r="AQ108" i="10"/>
  <c r="AS108" i="10" s="1"/>
  <c r="AQ109" i="10"/>
  <c r="AQ110" i="10"/>
  <c r="AQ111" i="10"/>
  <c r="AQ112" i="10"/>
  <c r="AS112" i="10" s="1"/>
  <c r="AQ105" i="10"/>
  <c r="AS72" i="10"/>
  <c r="AS76" i="10"/>
  <c r="AS84" i="10"/>
  <c r="AS85" i="10"/>
  <c r="AS86" i="10"/>
  <c r="AS88" i="10"/>
  <c r="AS89" i="10"/>
  <c r="AS90" i="10"/>
  <c r="AS92" i="10"/>
  <c r="AS93" i="10"/>
  <c r="AS94" i="10"/>
  <c r="AS96" i="10"/>
  <c r="AS97" i="10"/>
  <c r="AS98" i="10"/>
  <c r="AY161" i="10"/>
  <c r="BB161" i="10" s="1"/>
  <c r="AY162" i="10"/>
  <c r="BA162" i="10" s="1"/>
  <c r="AY163" i="10"/>
  <c r="BB163" i="10" s="1"/>
  <c r="AY164" i="10"/>
  <c r="AY165" i="10"/>
  <c r="BB165" i="10" s="1"/>
  <c r="AY166" i="10"/>
  <c r="BA166" i="10" s="1"/>
  <c r="AY167" i="10"/>
  <c r="BB167" i="10" s="1"/>
  <c r="AY160" i="10"/>
  <c r="AU161" i="10"/>
  <c r="AX161" i="10" s="1"/>
  <c r="AU162" i="10"/>
  <c r="AW162" i="10" s="1"/>
  <c r="AU163" i="10"/>
  <c r="AX163" i="10" s="1"/>
  <c r="AU164" i="10"/>
  <c r="AU165" i="10"/>
  <c r="AX165" i="10" s="1"/>
  <c r="AU166" i="10"/>
  <c r="AU167" i="10"/>
  <c r="AX167" i="10" s="1"/>
  <c r="AU160" i="10"/>
  <c r="AX160" i="10" s="1"/>
  <c r="AY125" i="10"/>
  <c r="BA125" i="10" s="1"/>
  <c r="AY126" i="10"/>
  <c r="BB126" i="10" s="1"/>
  <c r="AY127" i="10"/>
  <c r="AY128" i="10"/>
  <c r="BB128" i="10" s="1"/>
  <c r="AY129" i="10"/>
  <c r="BB129" i="10" s="1"/>
  <c r="AY130" i="10"/>
  <c r="AY131" i="10"/>
  <c r="BB131" i="10" s="1"/>
  <c r="AY132" i="10"/>
  <c r="BA132" i="10" s="1"/>
  <c r="AY133" i="10"/>
  <c r="BB133" i="10" s="1"/>
  <c r="AY134" i="10"/>
  <c r="BB134" i="10" s="1"/>
  <c r="AY135" i="10"/>
  <c r="AY136" i="10"/>
  <c r="BB136" i="10" s="1"/>
  <c r="AY137" i="10"/>
  <c r="BB137" i="10" s="1"/>
  <c r="AY138" i="10"/>
  <c r="BB138" i="10" s="1"/>
  <c r="AY139" i="10"/>
  <c r="BB139" i="10"/>
  <c r="AY140" i="10"/>
  <c r="AY141" i="10"/>
  <c r="BB141" i="10" s="1"/>
  <c r="AY142" i="10"/>
  <c r="BB142" i="10" s="1"/>
  <c r="AY143" i="10"/>
  <c r="BB143" i="10" s="1"/>
  <c r="AY144" i="10"/>
  <c r="BB144" i="10" s="1"/>
  <c r="AY145" i="10"/>
  <c r="BB145" i="10"/>
  <c r="AY146" i="10"/>
  <c r="BB146" i="10" s="1"/>
  <c r="AY147" i="10"/>
  <c r="BB147" i="10"/>
  <c r="AY148" i="10"/>
  <c r="AY149" i="10"/>
  <c r="BB149" i="10" s="1"/>
  <c r="AY150" i="10"/>
  <c r="BB150" i="10" s="1"/>
  <c r="AY151" i="10"/>
  <c r="BB151" i="10" s="1"/>
  <c r="AY152" i="10"/>
  <c r="BB152" i="10" s="1"/>
  <c r="AY153" i="10"/>
  <c r="BB153" i="10"/>
  <c r="AY124" i="10"/>
  <c r="BB124" i="10" s="1"/>
  <c r="AU125" i="10"/>
  <c r="AU126" i="10"/>
  <c r="AX126" i="10" s="1"/>
  <c r="AU127" i="10"/>
  <c r="AU128" i="10"/>
  <c r="AW128" i="10" s="1"/>
  <c r="AU129" i="10"/>
  <c r="AX129" i="10" s="1"/>
  <c r="AU130" i="10"/>
  <c r="AU131" i="10"/>
  <c r="AU132" i="10"/>
  <c r="AW132" i="10" s="1"/>
  <c r="AU133" i="10"/>
  <c r="AX133" i="10" s="1"/>
  <c r="AU134" i="10"/>
  <c r="AU135" i="10"/>
  <c r="AU136" i="10"/>
  <c r="AW136" i="10" s="1"/>
  <c r="AU137" i="10"/>
  <c r="AX137" i="10" s="1"/>
  <c r="AU138" i="10"/>
  <c r="AX138" i="10" s="1"/>
  <c r="AU139" i="10"/>
  <c r="AU140" i="10"/>
  <c r="AX140" i="10" s="1"/>
  <c r="AU141" i="10"/>
  <c r="AX141" i="10"/>
  <c r="AU142" i="10"/>
  <c r="AX142" i="10" s="1"/>
  <c r="AU143" i="10"/>
  <c r="AX143" i="10" s="1"/>
  <c r="AU144" i="10"/>
  <c r="AX144" i="10" s="1"/>
  <c r="AU145" i="10"/>
  <c r="AU146" i="10"/>
  <c r="AX146" i="10" s="1"/>
  <c r="AU147" i="10"/>
  <c r="AX147" i="10"/>
  <c r="AU148" i="10"/>
  <c r="AX148" i="10" s="1"/>
  <c r="AU149" i="10"/>
  <c r="AX149" i="10"/>
  <c r="AU150" i="10"/>
  <c r="AX150" i="10" s="1"/>
  <c r="AU151" i="10"/>
  <c r="AX151" i="10" s="1"/>
  <c r="AU152" i="10"/>
  <c r="AX152" i="10" s="1"/>
  <c r="AU153" i="10"/>
  <c r="AU124" i="10"/>
  <c r="AX124" i="10" s="1"/>
  <c r="AY106" i="10"/>
  <c r="AY107" i="10"/>
  <c r="AY108" i="10"/>
  <c r="BA108" i="10" s="1"/>
  <c r="AY109" i="10"/>
  <c r="AY110" i="10"/>
  <c r="AY111" i="10"/>
  <c r="AY112" i="10"/>
  <c r="BA112" i="10" s="1"/>
  <c r="BB113" i="10"/>
  <c r="AY105" i="10"/>
  <c r="BB105" i="10" s="1"/>
  <c r="AX106" i="10"/>
  <c r="AX108" i="10"/>
  <c r="AX110" i="10"/>
  <c r="AX112" i="10"/>
  <c r="AX113" i="10"/>
  <c r="AY53" i="10"/>
  <c r="BB53" i="10" s="1"/>
  <c r="AY54" i="10"/>
  <c r="BB54" i="10" s="1"/>
  <c r="AY55" i="10"/>
  <c r="BB55" i="10" s="1"/>
  <c r="AY56" i="10"/>
  <c r="BB56" i="10" s="1"/>
  <c r="AY57" i="10"/>
  <c r="BB57" i="10" s="1"/>
  <c r="AY58" i="10"/>
  <c r="BB58" i="10" s="1"/>
  <c r="AY59" i="10"/>
  <c r="BB59" i="10" s="1"/>
  <c r="AY60" i="10"/>
  <c r="BB60" i="10" s="1"/>
  <c r="AY61" i="10"/>
  <c r="BB61" i="10" s="1"/>
  <c r="AY70" i="10"/>
  <c r="BB70" i="10" s="1"/>
  <c r="AY71" i="10"/>
  <c r="BB71" i="10" s="1"/>
  <c r="AY72" i="10"/>
  <c r="BB72" i="10" s="1"/>
  <c r="AY73" i="10"/>
  <c r="BB73" i="10" s="1"/>
  <c r="AY74" i="10"/>
  <c r="AY75" i="10"/>
  <c r="BA75" i="10" s="1"/>
  <c r="AY76" i="10"/>
  <c r="BA76" i="10" s="1"/>
  <c r="AY77" i="10"/>
  <c r="BB77" i="10" s="1"/>
  <c r="AY78" i="10"/>
  <c r="AY79" i="10"/>
  <c r="BA79" i="10" s="1"/>
  <c r="AY80" i="10"/>
  <c r="BB80" i="10" s="1"/>
  <c r="AY81" i="10"/>
  <c r="BB81" i="10" s="1"/>
  <c r="AY82" i="10"/>
  <c r="BB82" i="10" s="1"/>
  <c r="AY83" i="10"/>
  <c r="AY84" i="10"/>
  <c r="BB84" i="10" s="1"/>
  <c r="AY85" i="10"/>
  <c r="BB85" i="10"/>
  <c r="AY86" i="10"/>
  <c r="BB86" i="10" s="1"/>
  <c r="AY87" i="10"/>
  <c r="BB87" i="10" s="1"/>
  <c r="AY88" i="10"/>
  <c r="BB88" i="10" s="1"/>
  <c r="AY89" i="10"/>
  <c r="AY90" i="10"/>
  <c r="BB90" i="10" s="1"/>
  <c r="AY91" i="10"/>
  <c r="BB91" i="10"/>
  <c r="AY92" i="10"/>
  <c r="BB92" i="10" s="1"/>
  <c r="AY93" i="10"/>
  <c r="BB93" i="10"/>
  <c r="AY94" i="10"/>
  <c r="AY95" i="10"/>
  <c r="BB95" i="10" s="1"/>
  <c r="AY96" i="10"/>
  <c r="BB96" i="10" s="1"/>
  <c r="AY97" i="10"/>
  <c r="BB97" i="10" s="1"/>
  <c r="AY98" i="10"/>
  <c r="BB98" i="10" s="1"/>
  <c r="AY69" i="10"/>
  <c r="BA69" i="10" s="1"/>
  <c r="AU70" i="10"/>
  <c r="AX70" i="10" s="1"/>
  <c r="AU71" i="10"/>
  <c r="AX71" i="10" s="1"/>
  <c r="AU72" i="10"/>
  <c r="AW72" i="10" s="1"/>
  <c r="AU73" i="10"/>
  <c r="AX73" i="10" s="1"/>
  <c r="AU74" i="10"/>
  <c r="AX74" i="10" s="1"/>
  <c r="AU75" i="10"/>
  <c r="AW75" i="10" s="1"/>
  <c r="AU76" i="10"/>
  <c r="AW76" i="10" s="1"/>
  <c r="AU77" i="10"/>
  <c r="AX77" i="10" s="1"/>
  <c r="AU78" i="10"/>
  <c r="AU79" i="10"/>
  <c r="AW79" i="10" s="1"/>
  <c r="AU80" i="10"/>
  <c r="AU81" i="10"/>
  <c r="AX81" i="10" s="1"/>
  <c r="AU82" i="10"/>
  <c r="AW82" i="10" s="1"/>
  <c r="AU83" i="10"/>
  <c r="AX83" i="10" s="1"/>
  <c r="AU84" i="10"/>
  <c r="AX84" i="10"/>
  <c r="AU85" i="10"/>
  <c r="AU86" i="10"/>
  <c r="AX86" i="10" s="1"/>
  <c r="AU87" i="10"/>
  <c r="AX87" i="10" s="1"/>
  <c r="AU88" i="10"/>
  <c r="AU89" i="10"/>
  <c r="AX89" i="10" s="1"/>
  <c r="AU90" i="10"/>
  <c r="AX90" i="10"/>
  <c r="AU91" i="10"/>
  <c r="AX91" i="10" s="1"/>
  <c r="AU92" i="10"/>
  <c r="AX92" i="10"/>
  <c r="AU93" i="10"/>
  <c r="AU94" i="10"/>
  <c r="AX94" i="10" s="1"/>
  <c r="AU95" i="10"/>
  <c r="AX95" i="10" s="1"/>
  <c r="AU96" i="10"/>
  <c r="AU97" i="10"/>
  <c r="AX97" i="10" s="1"/>
  <c r="AU98" i="10"/>
  <c r="AX98" i="10"/>
  <c r="AU69" i="10"/>
  <c r="AW69" i="10" s="1"/>
  <c r="AY52" i="10"/>
  <c r="BB52" i="10" s="1"/>
  <c r="AY45" i="10"/>
  <c r="BB45" i="10"/>
  <c r="AU53" i="10"/>
  <c r="AX53" i="10" s="1"/>
  <c r="AU54" i="10"/>
  <c r="AX54" i="10" s="1"/>
  <c r="AU55" i="10"/>
  <c r="AX55" i="10" s="1"/>
  <c r="AU56" i="10"/>
  <c r="AU57" i="10"/>
  <c r="AX57" i="10" s="1"/>
  <c r="AU58" i="10"/>
  <c r="AX58" i="10" s="1"/>
  <c r="AU59" i="10"/>
  <c r="AX59" i="10" s="1"/>
  <c r="AU60" i="10"/>
  <c r="AX60" i="10" s="1"/>
  <c r="AU61" i="10"/>
  <c r="AX61" i="10" s="1"/>
  <c r="AU52" i="10"/>
  <c r="AX52" i="10" s="1"/>
  <c r="AU17" i="10"/>
  <c r="AV17" i="10" s="1"/>
  <c r="BB17" i="10" s="1"/>
  <c r="AU18" i="10"/>
  <c r="AV18" i="10" s="1"/>
  <c r="BB18" i="10" s="1"/>
  <c r="AU19" i="10"/>
  <c r="AV19" i="10" s="1"/>
  <c r="BB19" i="10" s="1"/>
  <c r="AU20" i="10"/>
  <c r="AX20" i="10" s="1"/>
  <c r="AU21" i="10"/>
  <c r="AV21" i="10" s="1"/>
  <c r="BB21" i="10" s="1"/>
  <c r="AU22" i="10"/>
  <c r="AU23" i="10"/>
  <c r="AV23" i="10" s="1"/>
  <c r="BB23" i="10" s="1"/>
  <c r="AU24" i="10"/>
  <c r="AU25" i="10"/>
  <c r="AX25" i="10" s="1"/>
  <c r="AU26" i="10"/>
  <c r="AV26" i="10" s="1"/>
  <c r="BB26" i="10" s="1"/>
  <c r="AU27" i="10"/>
  <c r="AV27" i="10" s="1"/>
  <c r="BB27" i="10" s="1"/>
  <c r="AU28" i="10"/>
  <c r="AV28" i="10" s="1"/>
  <c r="BB28" i="10" s="1"/>
  <c r="AU29" i="10"/>
  <c r="AV29" i="10" s="1"/>
  <c r="BB29" i="10" s="1"/>
  <c r="AU30" i="10"/>
  <c r="AU31" i="10"/>
  <c r="AV31" i="10" s="1"/>
  <c r="BB31" i="10" s="1"/>
  <c r="AU32" i="10"/>
  <c r="AV32" i="10" s="1"/>
  <c r="BB32" i="10" s="1"/>
  <c r="AU33" i="10"/>
  <c r="AX33" i="10" s="1"/>
  <c r="AV33" i="10"/>
  <c r="BB33" i="10" s="1"/>
  <c r="AU34" i="10"/>
  <c r="AV34" i="10" s="1"/>
  <c r="BB34" i="10" s="1"/>
  <c r="AU35" i="10"/>
  <c r="AV35" i="10"/>
  <c r="BB35" i="10" s="1"/>
  <c r="AU36" i="10"/>
  <c r="AU37" i="10"/>
  <c r="AV37" i="10"/>
  <c r="BB37" i="10" s="1"/>
  <c r="AU38" i="10"/>
  <c r="AV38" i="10" s="1"/>
  <c r="BB38" i="10" s="1"/>
  <c r="AU39" i="10"/>
  <c r="AV39" i="10" s="1"/>
  <c r="BB39" i="10" s="1"/>
  <c r="AU40" i="10"/>
  <c r="AV40" i="10" s="1"/>
  <c r="BB40" i="10" s="1"/>
  <c r="AU41" i="10"/>
  <c r="AX41" i="10" s="1"/>
  <c r="AV41" i="10"/>
  <c r="BB41" i="10" s="1"/>
  <c r="AU42" i="10"/>
  <c r="AV42" i="10" s="1"/>
  <c r="BB42" i="10" s="1"/>
  <c r="AU43" i="10"/>
  <c r="AV43" i="10" s="1"/>
  <c r="BB43" i="10" s="1"/>
  <c r="AU44" i="10"/>
  <c r="AV44" i="10" s="1"/>
  <c r="BB44" i="10" s="1"/>
  <c r="AU16" i="10"/>
  <c r="AV16" i="10" s="1"/>
  <c r="BB16" i="10" s="1"/>
  <c r="AX19" i="10"/>
  <c r="AX23" i="10"/>
  <c r="AX26" i="10"/>
  <c r="AX32" i="10"/>
  <c r="AX34" i="10"/>
  <c r="AX35" i="10"/>
  <c r="AX37" i="10"/>
  <c r="AX38" i="10"/>
  <c r="AX39" i="10"/>
  <c r="AX40" i="10"/>
  <c r="AX42" i="10"/>
  <c r="AX43" i="10"/>
  <c r="AX44" i="10"/>
  <c r="AU45" i="10"/>
  <c r="AX45" i="10"/>
  <c r="AK21" i="10"/>
  <c r="AK17" i="10"/>
  <c r="AK18" i="10"/>
  <c r="AK19" i="10"/>
  <c r="AK20" i="10"/>
  <c r="AK22" i="10"/>
  <c r="AK23" i="10"/>
  <c r="AK24" i="10"/>
  <c r="AK25" i="10"/>
  <c r="AK26" i="10"/>
  <c r="AK27" i="10"/>
  <c r="AK16" i="10"/>
  <c r="AK28" i="10"/>
  <c r="AK29" i="10"/>
  <c r="AK30" i="10"/>
  <c r="AK31" i="10"/>
  <c r="AK32" i="10"/>
  <c r="AK33" i="10"/>
  <c r="AK34" i="10"/>
  <c r="AK35" i="10"/>
  <c r="AK36" i="10"/>
  <c r="AK37" i="10"/>
  <c r="AK38" i="10"/>
  <c r="AK39" i="10"/>
  <c r="AK40" i="10"/>
  <c r="AK41" i="10"/>
  <c r="AK42" i="10"/>
  <c r="AK43" i="10"/>
  <c r="AK44" i="10"/>
  <c r="AK45" i="10"/>
  <c r="AV45" i="10"/>
  <c r="AQ28" i="10"/>
  <c r="AR28" i="10" s="1"/>
  <c r="AQ29" i="10"/>
  <c r="AR29" i="10" s="1"/>
  <c r="AQ30" i="10"/>
  <c r="AS30" i="10"/>
  <c r="AQ31" i="10"/>
  <c r="AR31" i="10" s="1"/>
  <c r="AQ32" i="10"/>
  <c r="AR32" i="10" s="1"/>
  <c r="AS32" i="10"/>
  <c r="AQ33" i="10"/>
  <c r="AR33" i="10"/>
  <c r="AQ34" i="10"/>
  <c r="AR34" i="10" s="1"/>
  <c r="AS34" i="10"/>
  <c r="AQ35" i="10"/>
  <c r="AR35" i="10"/>
  <c r="AQ36" i="10"/>
  <c r="AR36" i="10" s="1"/>
  <c r="AS36" i="10"/>
  <c r="AQ37" i="10"/>
  <c r="AR37" i="10"/>
  <c r="AQ38" i="10"/>
  <c r="AR38" i="10" s="1"/>
  <c r="AS38" i="10"/>
  <c r="AQ39" i="10"/>
  <c r="AR39" i="10"/>
  <c r="AQ40" i="10"/>
  <c r="AR40" i="10" s="1"/>
  <c r="AS40" i="10"/>
  <c r="AQ41" i="10"/>
  <c r="AR41" i="10"/>
  <c r="AQ42" i="10"/>
  <c r="AR42" i="10" s="1"/>
  <c r="AS42" i="10"/>
  <c r="AQ43" i="10"/>
  <c r="AR43" i="10"/>
  <c r="AQ44" i="10"/>
  <c r="AR44" i="10" s="1"/>
  <c r="AS44" i="10"/>
  <c r="AQ45" i="10"/>
  <c r="AR45" i="10"/>
  <c r="V57" i="10"/>
  <c r="W57" i="10" s="1"/>
  <c r="Z57" i="10" s="1"/>
  <c r="V56" i="10"/>
  <c r="W56" i="10" s="1"/>
  <c r="V55" i="10"/>
  <c r="W55" i="10" s="1"/>
  <c r="V54" i="10"/>
  <c r="W54" i="10" s="1"/>
  <c r="V53" i="10"/>
  <c r="V52" i="10"/>
  <c r="W52" i="10" s="1"/>
  <c r="V51" i="10"/>
  <c r="W51" i="10" s="1"/>
  <c r="V50" i="10"/>
  <c r="W50" i="10" s="1"/>
  <c r="V49" i="10"/>
  <c r="V17" i="10"/>
  <c r="V18" i="10"/>
  <c r="V19" i="10"/>
  <c r="V20" i="10"/>
  <c r="V21" i="10"/>
  <c r="V22" i="10"/>
  <c r="V23" i="10"/>
  <c r="V24" i="10"/>
  <c r="V25" i="10"/>
  <c r="V26" i="10"/>
  <c r="V27" i="10"/>
  <c r="V28" i="10"/>
  <c r="V29" i="10"/>
  <c r="V30" i="10"/>
  <c r="W30" i="10" s="1"/>
  <c r="Z30" i="10" s="1"/>
  <c r="X30" i="10"/>
  <c r="V31" i="10"/>
  <c r="W31" i="10" s="1"/>
  <c r="Z31" i="10" s="1"/>
  <c r="X31" i="10"/>
  <c r="V32" i="10"/>
  <c r="W32" i="10" s="1"/>
  <c r="Z32" i="10" s="1"/>
  <c r="X32" i="10"/>
  <c r="V33" i="10"/>
  <c r="W33" i="10" s="1"/>
  <c r="Z33" i="10" s="1"/>
  <c r="X33" i="10"/>
  <c r="V34" i="10"/>
  <c r="W34" i="10" s="1"/>
  <c r="Z34" i="10" s="1"/>
  <c r="X34" i="10"/>
  <c r="V35" i="10"/>
  <c r="W35" i="10" s="1"/>
  <c r="Z35" i="10" s="1"/>
  <c r="X35" i="10"/>
  <c r="V36" i="10"/>
  <c r="W36" i="10" s="1"/>
  <c r="Z36" i="10" s="1"/>
  <c r="X36" i="10"/>
  <c r="V37" i="10"/>
  <c r="W37" i="10" s="1"/>
  <c r="Z37" i="10" s="1"/>
  <c r="X37" i="10"/>
  <c r="V38" i="10"/>
  <c r="W38" i="10" s="1"/>
  <c r="Z38" i="10" s="1"/>
  <c r="X38" i="10"/>
  <c r="V39" i="10"/>
  <c r="W39" i="10" s="1"/>
  <c r="Z39" i="10" s="1"/>
  <c r="X39" i="10"/>
  <c r="V40" i="10"/>
  <c r="W40" i="10" s="1"/>
  <c r="Z40" i="10" s="1"/>
  <c r="X40" i="10"/>
  <c r="V41" i="10"/>
  <c r="W41" i="10" s="1"/>
  <c r="Z41" i="10" s="1"/>
  <c r="X41" i="10"/>
  <c r="V42" i="10"/>
  <c r="W42" i="10" s="1"/>
  <c r="Z42" i="10" s="1"/>
  <c r="X42" i="10"/>
  <c r="V43" i="10"/>
  <c r="W43" i="10" s="1"/>
  <c r="Z43" i="10" s="1"/>
  <c r="V44" i="10"/>
  <c r="W44" i="10" s="1"/>
  <c r="Z44" i="10" s="1"/>
  <c r="X44" i="10"/>
  <c r="V45" i="10"/>
  <c r="W45" i="10" s="1"/>
  <c r="Z45" i="10" s="1"/>
  <c r="X45" i="10"/>
  <c r="V16" i="10"/>
  <c r="T30" i="10"/>
  <c r="T31" i="10"/>
  <c r="T32" i="10"/>
  <c r="T33" i="10"/>
  <c r="T34" i="10"/>
  <c r="T35" i="10"/>
  <c r="T36" i="10"/>
  <c r="T37" i="10"/>
  <c r="T38" i="10"/>
  <c r="T39" i="10"/>
  <c r="T40" i="10"/>
  <c r="T41" i="10"/>
  <c r="T42" i="10"/>
  <c r="T43" i="10"/>
  <c r="T44" i="10"/>
  <c r="T45" i="10"/>
  <c r="BC105" i="10"/>
  <c r="BC106" i="10"/>
  <c r="BC107" i="10"/>
  <c r="BC108" i="10"/>
  <c r="BE108" i="10" s="1"/>
  <c r="BC109" i="10"/>
  <c r="BF109" i="10" s="1"/>
  <c r="BC110" i="10"/>
  <c r="BC111" i="10"/>
  <c r="BC112" i="10"/>
  <c r="BE112" i="10" s="1"/>
  <c r="AM105" i="10"/>
  <c r="AP105" i="10" s="1"/>
  <c r="AM106" i="10"/>
  <c r="AN106" i="10" s="1"/>
  <c r="AM107" i="10"/>
  <c r="AM108" i="10"/>
  <c r="AN108" i="10" s="1"/>
  <c r="AM109" i="10"/>
  <c r="AM110" i="10"/>
  <c r="AN110" i="10" s="1"/>
  <c r="AM111" i="10"/>
  <c r="AM112" i="10"/>
  <c r="AO112" i="10" s="1"/>
  <c r="AM113" i="10"/>
  <c r="AO113" i="10"/>
  <c r="AK52" i="10"/>
  <c r="BA52" i="10" s="1"/>
  <c r="BC52" i="10"/>
  <c r="AK53" i="10"/>
  <c r="BC53" i="10"/>
  <c r="AK54" i="10"/>
  <c r="AW54" i="10" s="1"/>
  <c r="BC54" i="10"/>
  <c r="AK55" i="10"/>
  <c r="BC55" i="10"/>
  <c r="AK56" i="10"/>
  <c r="AW56" i="10" s="1"/>
  <c r="BC56" i="10"/>
  <c r="AK57" i="10"/>
  <c r="BC57" i="10"/>
  <c r="AK58" i="10"/>
  <c r="BA58" i="10" s="1"/>
  <c r="BC58" i="10"/>
  <c r="BF58" i="10" s="1"/>
  <c r="AK59" i="10"/>
  <c r="BA59" i="10" s="1"/>
  <c r="BC59" i="10"/>
  <c r="AK60" i="10"/>
  <c r="BA60" i="10" s="1"/>
  <c r="BC60" i="10"/>
  <c r="AK61" i="10"/>
  <c r="BE61" i="10" s="1"/>
  <c r="BC61" i="10"/>
  <c r="AQ52" i="10"/>
  <c r="AS52" i="10" s="1"/>
  <c r="AQ53" i="10"/>
  <c r="AQ54" i="10"/>
  <c r="AS54" i="10" s="1"/>
  <c r="AQ55" i="10"/>
  <c r="AQ56" i="10"/>
  <c r="AQ57" i="10"/>
  <c r="AQ58" i="10"/>
  <c r="AQ59" i="10"/>
  <c r="AQ60" i="10"/>
  <c r="AQ61" i="10"/>
  <c r="AW52" i="10"/>
  <c r="AW61" i="10"/>
  <c r="AM52" i="10"/>
  <c r="AN52" i="10" s="1"/>
  <c r="AM53" i="10"/>
  <c r="AN53" i="10" s="1"/>
  <c r="AO53" i="10" s="1"/>
  <c r="AM54" i="10"/>
  <c r="AN54" i="10" s="1"/>
  <c r="AM55" i="10"/>
  <c r="AM56" i="10"/>
  <c r="AM57" i="10"/>
  <c r="AM58" i="10"/>
  <c r="AP58" i="10" s="1"/>
  <c r="AM59" i="10"/>
  <c r="AP59" i="10" s="1"/>
  <c r="AM60" i="10"/>
  <c r="AN60" i="10" s="1"/>
  <c r="AM61" i="10"/>
  <c r="AP61" i="10" s="1"/>
  <c r="AO61" i="10"/>
  <c r="BC69" i="10"/>
  <c r="BC70" i="10"/>
  <c r="BC71" i="10"/>
  <c r="BC72" i="10"/>
  <c r="BC73" i="10"/>
  <c r="BC74" i="10"/>
  <c r="BC75" i="10"/>
  <c r="BC76" i="10"/>
  <c r="BE76" i="10" s="1"/>
  <c r="BC77" i="10"/>
  <c r="BE77" i="10" s="1"/>
  <c r="BC78" i="10"/>
  <c r="BC79" i="10"/>
  <c r="BC80" i="10"/>
  <c r="AM69" i="10"/>
  <c r="AN69" i="10" s="1"/>
  <c r="AO69" i="10" s="1"/>
  <c r="AM70" i="10"/>
  <c r="AN70" i="10" s="1"/>
  <c r="AM71" i="10"/>
  <c r="AN71" i="10" s="1"/>
  <c r="AM72" i="10"/>
  <c r="AN72" i="10" s="1"/>
  <c r="AM73" i="10"/>
  <c r="AN73" i="10" s="1"/>
  <c r="AO73" i="10" s="1"/>
  <c r="AM74" i="10"/>
  <c r="AN74" i="10" s="1"/>
  <c r="AM75" i="10"/>
  <c r="AN75" i="10" s="1"/>
  <c r="AM76" i="10"/>
  <c r="AN76" i="10" s="1"/>
  <c r="AM77" i="10"/>
  <c r="AN77" i="10" s="1"/>
  <c r="AO77" i="10" s="1"/>
  <c r="AM78" i="10"/>
  <c r="AN78" i="10" s="1"/>
  <c r="AM79" i="10"/>
  <c r="AN79" i="10" s="1"/>
  <c r="AM80" i="10"/>
  <c r="AN80" i="10" s="1"/>
  <c r="AM81" i="10"/>
  <c r="AN81" i="10" s="1"/>
  <c r="AO81" i="10" s="1"/>
  <c r="AM82" i="10"/>
  <c r="AN82" i="10" s="1"/>
  <c r="AO82" i="10" s="1"/>
  <c r="AM83" i="10"/>
  <c r="AN83" i="10"/>
  <c r="AO83" i="10"/>
  <c r="AM84" i="10"/>
  <c r="AN84" i="10" s="1"/>
  <c r="AM85" i="10"/>
  <c r="AO85" i="10"/>
  <c r="AM86" i="10"/>
  <c r="AN86" i="10" s="1"/>
  <c r="AO86" i="10"/>
  <c r="AM87" i="10"/>
  <c r="AM88" i="10"/>
  <c r="AN88" i="10"/>
  <c r="AO88" i="10"/>
  <c r="AM89" i="10"/>
  <c r="AN89" i="10" s="1"/>
  <c r="AO89" i="10"/>
  <c r="AM90" i="10"/>
  <c r="AN90" i="10"/>
  <c r="AO90" i="10"/>
  <c r="AM91" i="10"/>
  <c r="AN91" i="10" s="1"/>
  <c r="AM92" i="10"/>
  <c r="AM93" i="10"/>
  <c r="AN93" i="10" s="1"/>
  <c r="AO93" i="10"/>
  <c r="AM94" i="10"/>
  <c r="AO94" i="10"/>
  <c r="AM95" i="10"/>
  <c r="AN95" i="10" s="1"/>
  <c r="AM96" i="10"/>
  <c r="AN96" i="10"/>
  <c r="AO96" i="10"/>
  <c r="AM97" i="10"/>
  <c r="AN97" i="10" s="1"/>
  <c r="AO97" i="10"/>
  <c r="AM98" i="10"/>
  <c r="AN98" i="10" s="1"/>
  <c r="AO98" i="10"/>
  <c r="U147" i="10"/>
  <c r="B29" i="12"/>
  <c r="B5" i="12"/>
  <c r="B4" i="12"/>
  <c r="B19" i="12"/>
  <c r="B6" i="12"/>
  <c r="C29" i="12"/>
  <c r="B11" i="12"/>
  <c r="B10" i="12"/>
  <c r="B20" i="12"/>
  <c r="B12" i="12"/>
  <c r="B13" i="12"/>
  <c r="B14" i="12"/>
  <c r="B15" i="12"/>
  <c r="B7" i="12"/>
  <c r="B8" i="12"/>
  <c r="B9" i="12"/>
  <c r="B30" i="12"/>
  <c r="C30" i="12"/>
  <c r="B31" i="12"/>
  <c r="C31" i="12"/>
  <c r="B32" i="12"/>
  <c r="C32" i="12"/>
  <c r="B33" i="12"/>
  <c r="C33" i="12"/>
  <c r="B34" i="12"/>
  <c r="C34" i="12"/>
  <c r="B35" i="12"/>
  <c r="C35" i="12"/>
  <c r="B36" i="12"/>
  <c r="C36" i="12"/>
  <c r="B37" i="12"/>
  <c r="C37" i="12"/>
  <c r="B28" i="12"/>
  <c r="C28" i="12"/>
  <c r="C38" i="12"/>
  <c r="B38" i="12"/>
  <c r="C57" i="12"/>
  <c r="A57" i="12"/>
  <c r="C56" i="12"/>
  <c r="A56" i="12"/>
  <c r="C55" i="12"/>
  <c r="A55" i="12"/>
  <c r="C54" i="12"/>
  <c r="A54" i="12"/>
  <c r="C53" i="12"/>
  <c r="A53" i="12"/>
  <c r="C52" i="12"/>
  <c r="A52" i="12"/>
  <c r="C51" i="12"/>
  <c r="A51" i="12"/>
  <c r="C50" i="12"/>
  <c r="A50" i="12"/>
  <c r="C49" i="12"/>
  <c r="A49" i="12"/>
  <c r="C48" i="12"/>
  <c r="A48" i="12"/>
  <c r="C47" i="12"/>
  <c r="A47" i="12"/>
  <c r="C46" i="12"/>
  <c r="A46" i="12"/>
  <c r="C45" i="12"/>
  <c r="A45" i="12"/>
  <c r="C44" i="12"/>
  <c r="A44" i="12"/>
  <c r="C43" i="12"/>
  <c r="A43" i="12"/>
  <c r="C42" i="12"/>
  <c r="A42" i="12"/>
  <c r="C41" i="12"/>
  <c r="A41" i="12"/>
  <c r="C40" i="12"/>
  <c r="A40" i="12"/>
  <c r="C39" i="12"/>
  <c r="A39" i="12"/>
  <c r="A38" i="12"/>
  <c r="A37" i="12"/>
  <c r="A36" i="12"/>
  <c r="A35" i="12"/>
  <c r="A34" i="12"/>
  <c r="A33" i="12"/>
  <c r="A32" i="12"/>
  <c r="A31" i="12"/>
  <c r="A30" i="12"/>
  <c r="A29" i="12"/>
  <c r="A28" i="12"/>
  <c r="B3" i="12"/>
  <c r="N47" i="10"/>
  <c r="T47" i="10"/>
  <c r="T15" i="10"/>
  <c r="R47" i="10"/>
  <c r="S75" i="10"/>
  <c r="BC16" i="10"/>
  <c r="BD16" i="10" s="1"/>
  <c r="BC17" i="10"/>
  <c r="BD17" i="10" s="1"/>
  <c r="BC18" i="10"/>
  <c r="BD18" i="10" s="1"/>
  <c r="BC19" i="10"/>
  <c r="BD19" i="10" s="1"/>
  <c r="BE19" i="10" s="1"/>
  <c r="BC20" i="10"/>
  <c r="BD20" i="10" s="1"/>
  <c r="BC21" i="10"/>
  <c r="BD21" i="10" s="1"/>
  <c r="BC22" i="10"/>
  <c r="BD22" i="10" s="1"/>
  <c r="BC23" i="10"/>
  <c r="BD23" i="10" s="1"/>
  <c r="BE23" i="10" s="1"/>
  <c r="BC24" i="10"/>
  <c r="BD24" i="10" s="1"/>
  <c r="BC25" i="10"/>
  <c r="BD25" i="10" s="1"/>
  <c r="BC26" i="10"/>
  <c r="BD26" i="10" s="1"/>
  <c r="BC27" i="10"/>
  <c r="BD27" i="10" s="1"/>
  <c r="BE27" i="10" s="1"/>
  <c r="BC28" i="10"/>
  <c r="BD28" i="10" s="1"/>
  <c r="BC29" i="10"/>
  <c r="BD29" i="10" s="1"/>
  <c r="BC30" i="10"/>
  <c r="BD30" i="10" s="1"/>
  <c r="BE30" i="10"/>
  <c r="BC31" i="10"/>
  <c r="BE31" i="10"/>
  <c r="BC32" i="10"/>
  <c r="BD32" i="10"/>
  <c r="BE32" i="10"/>
  <c r="BC33" i="10"/>
  <c r="BD33" i="10" s="1"/>
  <c r="BC34" i="10"/>
  <c r="BD34" i="10"/>
  <c r="BE34" i="10"/>
  <c r="BC35" i="10"/>
  <c r="BD35" i="10" s="1"/>
  <c r="BE35" i="10"/>
  <c r="BC36" i="10"/>
  <c r="BC37" i="10"/>
  <c r="BD37" i="10" s="1"/>
  <c r="BC38" i="10"/>
  <c r="BD38" i="10" s="1"/>
  <c r="BE38" i="10"/>
  <c r="BC39" i="10"/>
  <c r="BE39" i="10"/>
  <c r="BC40" i="10"/>
  <c r="BD40" i="10"/>
  <c r="BE40" i="10"/>
  <c r="BC41" i="10"/>
  <c r="BD41" i="10" s="1"/>
  <c r="BC42" i="10"/>
  <c r="BD42" i="10"/>
  <c r="BE42" i="10"/>
  <c r="BC43" i="10"/>
  <c r="BD43" i="10" s="1"/>
  <c r="BE43" i="10"/>
  <c r="BC44" i="10"/>
  <c r="BC45" i="10"/>
  <c r="BD45" i="10" s="1"/>
  <c r="AY16" i="10"/>
  <c r="AY17" i="10"/>
  <c r="AZ17" i="10" s="1"/>
  <c r="AY18" i="10"/>
  <c r="AZ18" i="10" s="1"/>
  <c r="AY19" i="10"/>
  <c r="AY20" i="10"/>
  <c r="AZ20" i="10" s="1"/>
  <c r="BA20" i="10" s="1"/>
  <c r="AY21" i="10"/>
  <c r="AZ21" i="10" s="1"/>
  <c r="AY22" i="10"/>
  <c r="AZ22" i="10" s="1"/>
  <c r="AY23" i="10"/>
  <c r="AY24" i="10"/>
  <c r="AZ24" i="10" s="1"/>
  <c r="BA24" i="10" s="1"/>
  <c r="AY25" i="10"/>
  <c r="AZ25" i="10" s="1"/>
  <c r="AY26" i="10"/>
  <c r="AZ26" i="10" s="1"/>
  <c r="AY27" i="10"/>
  <c r="AY28" i="10"/>
  <c r="AZ28" i="10" s="1"/>
  <c r="BA28" i="10" s="1"/>
  <c r="AY29" i="10"/>
  <c r="AZ29" i="10" s="1"/>
  <c r="AY30" i="10"/>
  <c r="AZ30" i="10" s="1"/>
  <c r="BA30" i="10"/>
  <c r="AY31" i="10"/>
  <c r="AZ31" i="10" s="1"/>
  <c r="BA31" i="10"/>
  <c r="AY32" i="10"/>
  <c r="AZ32" i="10" s="1"/>
  <c r="BA32" i="10"/>
  <c r="AY33" i="10"/>
  <c r="AZ33" i="10"/>
  <c r="BA33" i="10"/>
  <c r="AY34" i="10"/>
  <c r="AZ34" i="10" s="1"/>
  <c r="BA34" i="10"/>
  <c r="AY35" i="10"/>
  <c r="AZ35" i="10"/>
  <c r="BA35" i="10"/>
  <c r="AY36" i="10"/>
  <c r="AZ36" i="10" s="1"/>
  <c r="BA36" i="10"/>
  <c r="AY37" i="10"/>
  <c r="AZ37" i="10" s="1"/>
  <c r="AY38" i="10"/>
  <c r="AZ38" i="10" s="1"/>
  <c r="BA38" i="10"/>
  <c r="AY39" i="10"/>
  <c r="AZ39" i="10" s="1"/>
  <c r="BA39" i="10"/>
  <c r="AY40" i="10"/>
  <c r="AZ40" i="10" s="1"/>
  <c r="BA40" i="10"/>
  <c r="AY41" i="10"/>
  <c r="AZ41" i="10"/>
  <c r="AY42" i="10"/>
  <c r="AZ42" i="10" s="1"/>
  <c r="BA42" i="10"/>
  <c r="AY43" i="10"/>
  <c r="AZ43" i="10"/>
  <c r="BA43" i="10"/>
  <c r="AY44" i="10"/>
  <c r="AZ44" i="10" s="1"/>
  <c r="BA44" i="10"/>
  <c r="AZ45" i="10"/>
  <c r="AM16" i="10"/>
  <c r="AN16" i="10" s="1"/>
  <c r="AO16" i="10" s="1"/>
  <c r="AM17" i="10"/>
  <c r="AN17" i="10" s="1"/>
  <c r="AM18" i="10"/>
  <c r="AM19" i="10"/>
  <c r="AN19" i="10" s="1"/>
  <c r="AM20" i="10"/>
  <c r="AM21" i="10"/>
  <c r="AN21" i="10" s="1"/>
  <c r="AO21" i="10" s="1"/>
  <c r="AM22" i="10"/>
  <c r="AN22" i="10" s="1"/>
  <c r="AO22" i="10" s="1"/>
  <c r="AM23" i="10"/>
  <c r="AN23" i="10" s="1"/>
  <c r="AM24" i="10"/>
  <c r="AM25" i="10"/>
  <c r="AN25" i="10" s="1"/>
  <c r="AO25" i="10" s="1"/>
  <c r="AM26" i="10"/>
  <c r="AN26" i="10" s="1"/>
  <c r="AO26" i="10" s="1"/>
  <c r="AM27" i="10"/>
  <c r="AN27" i="10" s="1"/>
  <c r="AM28" i="10"/>
  <c r="AM29" i="10"/>
  <c r="AN29" i="10" s="1"/>
  <c r="AM30" i="10"/>
  <c r="AN30" i="10" s="1"/>
  <c r="AO30" i="10"/>
  <c r="AM31" i="10"/>
  <c r="AN31" i="10"/>
  <c r="AO31" i="10"/>
  <c r="AM32" i="10"/>
  <c r="AN32" i="10" s="1"/>
  <c r="AO32" i="10"/>
  <c r="AM33" i="10"/>
  <c r="AN33" i="10"/>
  <c r="AM34" i="10"/>
  <c r="AN34" i="10" s="1"/>
  <c r="AO34" i="10"/>
  <c r="AM35" i="10"/>
  <c r="AO35" i="10"/>
  <c r="AM36" i="10"/>
  <c r="AN36" i="10" s="1"/>
  <c r="AO36" i="10"/>
  <c r="AM37" i="10"/>
  <c r="AN37" i="10" s="1"/>
  <c r="AM38" i="10"/>
  <c r="AO38" i="10"/>
  <c r="AM39" i="10"/>
  <c r="AN39" i="10"/>
  <c r="AO39" i="10"/>
  <c r="AM40" i="10"/>
  <c r="AN40" i="10" s="1"/>
  <c r="AO40" i="10"/>
  <c r="AM41" i="10"/>
  <c r="AN41" i="10"/>
  <c r="AM42" i="10"/>
  <c r="AN42" i="10" s="1"/>
  <c r="AO42" i="10"/>
  <c r="AM43" i="10"/>
  <c r="AO43" i="10"/>
  <c r="AM44" i="10"/>
  <c r="AN44" i="10" s="1"/>
  <c r="AO44" i="10"/>
  <c r="AM45" i="10"/>
  <c r="AN45" i="10" s="1"/>
  <c r="AQ16" i="10"/>
  <c r="AR16" i="10" s="1"/>
  <c r="AQ17" i="10"/>
  <c r="AQ18" i="10"/>
  <c r="AR18" i="10" s="1"/>
  <c r="AQ19" i="10"/>
  <c r="AQ20" i="10"/>
  <c r="AQ21" i="10"/>
  <c r="AQ22" i="10"/>
  <c r="AQ23" i="10"/>
  <c r="AQ24" i="10"/>
  <c r="AQ25" i="10"/>
  <c r="AQ26" i="10"/>
  <c r="AR26" i="10" s="1"/>
  <c r="AQ27" i="10"/>
  <c r="G81" i="10"/>
  <c r="M80" i="10"/>
  <c r="M79" i="10"/>
  <c r="J81" i="10"/>
  <c r="J80" i="10"/>
  <c r="J79" i="10"/>
  <c r="G80" i="10"/>
  <c r="G79" i="10"/>
  <c r="D81" i="10"/>
  <c r="D80" i="10"/>
  <c r="S85" i="10"/>
  <c r="S76" i="10"/>
  <c r="S84" i="10"/>
  <c r="D76" i="10"/>
  <c r="J76" i="10"/>
  <c r="D79" i="10"/>
  <c r="B5" i="11"/>
  <c r="B4" i="11"/>
  <c r="B29" i="11"/>
  <c r="B19" i="11"/>
  <c r="B6" i="11"/>
  <c r="B13" i="11"/>
  <c r="B14" i="11"/>
  <c r="B15" i="11"/>
  <c r="B11" i="11"/>
  <c r="B10" i="11"/>
  <c r="C29" i="11"/>
  <c r="B20" i="11"/>
  <c r="B12" i="11"/>
  <c r="B7" i="11"/>
  <c r="E49" i="11" s="1"/>
  <c r="I49" i="11" s="1"/>
  <c r="B8" i="11"/>
  <c r="B9" i="11"/>
  <c r="B30" i="11"/>
  <c r="C30" i="11"/>
  <c r="B31" i="11"/>
  <c r="C31" i="11"/>
  <c r="U117" i="10"/>
  <c r="U118" i="10"/>
  <c r="U119" i="10"/>
  <c r="U120" i="10"/>
  <c r="U121" i="10"/>
  <c r="U122" i="10"/>
  <c r="U123" i="10"/>
  <c r="U124" i="10"/>
  <c r="U125" i="10"/>
  <c r="U126" i="10"/>
  <c r="U127" i="10"/>
  <c r="U128" i="10"/>
  <c r="U129" i="10"/>
  <c r="U130" i="10"/>
  <c r="U131" i="10"/>
  <c r="U132" i="10"/>
  <c r="B28" i="11"/>
  <c r="C28" i="11"/>
  <c r="B37" i="11"/>
  <c r="C37" i="11"/>
  <c r="B38" i="11"/>
  <c r="C38" i="11"/>
  <c r="B32" i="11"/>
  <c r="C32" i="11"/>
  <c r="B33" i="11"/>
  <c r="C33" i="11"/>
  <c r="B34" i="11"/>
  <c r="C34" i="11"/>
  <c r="B35" i="11"/>
  <c r="C35" i="11"/>
  <c r="B36" i="11"/>
  <c r="C36" i="11"/>
  <c r="A105" i="10"/>
  <c r="A106" i="10"/>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04" i="10"/>
  <c r="B3" i="11"/>
  <c r="S15" i="10"/>
  <c r="B57" i="11"/>
  <c r="C57" i="11"/>
  <c r="B45" i="11"/>
  <c r="C45" i="11"/>
  <c r="B46" i="11"/>
  <c r="C46" i="11"/>
  <c r="B47" i="11"/>
  <c r="C47" i="11"/>
  <c r="B48" i="11"/>
  <c r="C48" i="11"/>
  <c r="B49" i="11"/>
  <c r="C49" i="11"/>
  <c r="B50" i="11"/>
  <c r="C50" i="11"/>
  <c r="B51" i="11"/>
  <c r="C51" i="11"/>
  <c r="B52" i="11"/>
  <c r="C52" i="11"/>
  <c r="B53" i="11"/>
  <c r="C53" i="11"/>
  <c r="B54" i="11"/>
  <c r="C54" i="11"/>
  <c r="B55" i="11"/>
  <c r="C55" i="11"/>
  <c r="E55" i="11"/>
  <c r="I55" i="11" s="1"/>
  <c r="B56" i="11"/>
  <c r="C56" i="11"/>
  <c r="B39" i="11"/>
  <c r="C39" i="11"/>
  <c r="B40" i="11"/>
  <c r="C40" i="11"/>
  <c r="B41" i="11"/>
  <c r="C41" i="11"/>
  <c r="B42" i="11"/>
  <c r="C42" i="11"/>
  <c r="B43" i="11"/>
  <c r="C43" i="11"/>
  <c r="B44" i="11"/>
  <c r="C44"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28" i="11"/>
  <c r="P15" i="10"/>
  <c r="P47" i="10" s="1"/>
  <c r="BB47" i="10" s="1"/>
  <c r="R15" i="10"/>
  <c r="Q15" i="10"/>
  <c r="Q47" i="10" s="1"/>
  <c r="Y67" i="10"/>
  <c r="X67" i="10"/>
  <c r="V67" i="10"/>
  <c r="U67" i="10"/>
  <c r="M47" i="10"/>
  <c r="BC160" i="10"/>
  <c r="BE160" i="10" s="1"/>
  <c r="BC161" i="10"/>
  <c r="BC162" i="10"/>
  <c r="BF162" i="10" s="1"/>
  <c r="BC163" i="10"/>
  <c r="BF163" i="10" s="1"/>
  <c r="BC164" i="10"/>
  <c r="BC165" i="10"/>
  <c r="BC166" i="10"/>
  <c r="BC167" i="10"/>
  <c r="BF167" i="10" s="1"/>
  <c r="AQ160" i="10"/>
  <c r="AS160" i="10" s="1"/>
  <c r="AQ161" i="10"/>
  <c r="AQ162" i="10"/>
  <c r="AS162" i="10" s="1"/>
  <c r="AQ163" i="10"/>
  <c r="AQ164" i="10"/>
  <c r="AQ165" i="10"/>
  <c r="AQ166" i="10"/>
  <c r="AQ167" i="10"/>
  <c r="AM160" i="10"/>
  <c r="AN160" i="10" s="1"/>
  <c r="AO160" i="10" s="1"/>
  <c r="AM161" i="10"/>
  <c r="AN161" i="10" s="1"/>
  <c r="AO161" i="10" s="1"/>
  <c r="AM162" i="10"/>
  <c r="AN162" i="10" s="1"/>
  <c r="AM163" i="10"/>
  <c r="AP163" i="10" s="1"/>
  <c r="AM164" i="10"/>
  <c r="AM165" i="10"/>
  <c r="AN165" i="10" s="1"/>
  <c r="AO165" i="10" s="1"/>
  <c r="AM166" i="10"/>
  <c r="AM167" i="10"/>
  <c r="AP167" i="10" s="1"/>
  <c r="AM168" i="10"/>
  <c r="AN168" i="10" s="1"/>
  <c r="BC124" i="10"/>
  <c r="BF124" i="10" s="1"/>
  <c r="BC125" i="10"/>
  <c r="BC126" i="10"/>
  <c r="BC127" i="10"/>
  <c r="BE127" i="10" s="1"/>
  <c r="BC128" i="10"/>
  <c r="BC129" i="10"/>
  <c r="BC130" i="10"/>
  <c r="BC131" i="10"/>
  <c r="BE131" i="10" s="1"/>
  <c r="BC132" i="10"/>
  <c r="BC133" i="10"/>
  <c r="BC134" i="10"/>
  <c r="BC135" i="10"/>
  <c r="BE135" i="10" s="1"/>
  <c r="BC136" i="10"/>
  <c r="BC137" i="10"/>
  <c r="BE137" i="10" s="1"/>
  <c r="BC138" i="10"/>
  <c r="BC139" i="10"/>
  <c r="BF139" i="10" s="1"/>
  <c r="BC140" i="10"/>
  <c r="BF140" i="10" s="1"/>
  <c r="BC141" i="10"/>
  <c r="BC142" i="10"/>
  <c r="BC143" i="10"/>
  <c r="BF143" i="10" s="1"/>
  <c r="BC144" i="10"/>
  <c r="BC145" i="10"/>
  <c r="BC146" i="10"/>
  <c r="BF146" i="10" s="1"/>
  <c r="BC147" i="10"/>
  <c r="BC148" i="10"/>
  <c r="BF148" i="10" s="1"/>
  <c r="BC149" i="10"/>
  <c r="BC150" i="10"/>
  <c r="BF150" i="10" s="1"/>
  <c r="BC151" i="10"/>
  <c r="BF151" i="10" s="1"/>
  <c r="BC152" i="10"/>
  <c r="BC153" i="10"/>
  <c r="AQ124" i="10"/>
  <c r="AQ125" i="10"/>
  <c r="AS125" i="10" s="1"/>
  <c r="AQ126" i="10"/>
  <c r="AS126" i="10" s="1"/>
  <c r="AQ127" i="10"/>
  <c r="AS127" i="10" s="1"/>
  <c r="AQ128" i="10"/>
  <c r="AS128" i="10" s="1"/>
  <c r="AQ129" i="10"/>
  <c r="AS129" i="10" s="1"/>
  <c r="AQ130" i="10"/>
  <c r="AQ131" i="10"/>
  <c r="AS131" i="10" s="1"/>
  <c r="AQ132" i="10"/>
  <c r="AS132" i="10" s="1"/>
  <c r="AQ133" i="10"/>
  <c r="AS133" i="10" s="1"/>
  <c r="AQ134" i="10"/>
  <c r="AQ135" i="10"/>
  <c r="AS135" i="10" s="1"/>
  <c r="AQ136" i="10"/>
  <c r="AT136" i="10" s="1"/>
  <c r="AQ137" i="10"/>
  <c r="AS137" i="10" s="1"/>
  <c r="AQ138" i="10"/>
  <c r="AR138" i="10" s="1"/>
  <c r="AQ139" i="10"/>
  <c r="AT139" i="10" s="1"/>
  <c r="AQ140" i="10"/>
  <c r="AT140" i="10" s="1"/>
  <c r="AQ141" i="10"/>
  <c r="AT141" i="10" s="1"/>
  <c r="AQ142" i="10"/>
  <c r="AQ143" i="10"/>
  <c r="AT143" i="10" s="1"/>
  <c r="AQ144" i="10"/>
  <c r="AT144" i="10" s="1"/>
  <c r="AQ145" i="10"/>
  <c r="AQ146" i="10"/>
  <c r="AQ147" i="10"/>
  <c r="AQ148" i="10"/>
  <c r="AT148" i="10" s="1"/>
  <c r="AQ149" i="10"/>
  <c r="AT149" i="10" s="1"/>
  <c r="AQ150" i="10"/>
  <c r="AQ151" i="10"/>
  <c r="AT151" i="10" s="1"/>
  <c r="AQ152" i="10"/>
  <c r="AT152" i="10" s="1"/>
  <c r="AQ153" i="10"/>
  <c r="AT138" i="10"/>
  <c r="AT145" i="10"/>
  <c r="AT147" i="10"/>
  <c r="AT153" i="10"/>
  <c r="AM124" i="10"/>
  <c r="AM125" i="10"/>
  <c r="AN125" i="10" s="1"/>
  <c r="AM126" i="10"/>
  <c r="AN126" i="10" s="1"/>
  <c r="AM127" i="10"/>
  <c r="AM128" i="10"/>
  <c r="AM129" i="10"/>
  <c r="AN129" i="10" s="1"/>
  <c r="AM130" i="10"/>
  <c r="AN130" i="10" s="1"/>
  <c r="AM131" i="10"/>
  <c r="AM132" i="10"/>
  <c r="AM133" i="10"/>
  <c r="AN133" i="10" s="1"/>
  <c r="AM134" i="10"/>
  <c r="AN134" i="10" s="1"/>
  <c r="AM135" i="10"/>
  <c r="AM136" i="10"/>
  <c r="AN136" i="10" s="1"/>
  <c r="AM137" i="10"/>
  <c r="AN137" i="10" s="1"/>
  <c r="AM138" i="10"/>
  <c r="AN138" i="10" s="1"/>
  <c r="AM139" i="10"/>
  <c r="AN139" i="10" s="1"/>
  <c r="AM140" i="10"/>
  <c r="AN140" i="10" s="1"/>
  <c r="AM141" i="10"/>
  <c r="AN141" i="10" s="1"/>
  <c r="AM142" i="10"/>
  <c r="AN142" i="10" s="1"/>
  <c r="AM143" i="10"/>
  <c r="AN143" i="10" s="1"/>
  <c r="AM144" i="10"/>
  <c r="AN144" i="10" s="1"/>
  <c r="AM145" i="10"/>
  <c r="AN145" i="10" s="1"/>
  <c r="AM146" i="10"/>
  <c r="AN146" i="10" s="1"/>
  <c r="AM147" i="10"/>
  <c r="AP147" i="10" s="1"/>
  <c r="AN147" i="10"/>
  <c r="AM148" i="10"/>
  <c r="AN148" i="10" s="1"/>
  <c r="AM149" i="10"/>
  <c r="AN149" i="10"/>
  <c r="AM150" i="10"/>
  <c r="AN150" i="10" s="1"/>
  <c r="AM151" i="10"/>
  <c r="AN151" i="10"/>
  <c r="AM152" i="10"/>
  <c r="AN152" i="10" s="1"/>
  <c r="AM153" i="10"/>
  <c r="AP153" i="10" s="1"/>
  <c r="AN153" i="10"/>
  <c r="BC81" i="10"/>
  <c r="BC82" i="10"/>
  <c r="BC83" i="10"/>
  <c r="BC84" i="10"/>
  <c r="BC85" i="10"/>
  <c r="BC86" i="10"/>
  <c r="BC87" i="10"/>
  <c r="BC88" i="10"/>
  <c r="BC89" i="10"/>
  <c r="BC90" i="10"/>
  <c r="BC91" i="10"/>
  <c r="BC92" i="10"/>
  <c r="BC93" i="10"/>
  <c r="BC94" i="10"/>
  <c r="BC95" i="10"/>
  <c r="BC96" i="10"/>
  <c r="BC97" i="10"/>
  <c r="BC98" i="10"/>
  <c r="AP54" i="10"/>
  <c r="AP55" i="10"/>
  <c r="AP56" i="10"/>
  <c r="BF145" i="10"/>
  <c r="BF147" i="10"/>
  <c r="BF149" i="10"/>
  <c r="BF153" i="10"/>
  <c r="BF125" i="10"/>
  <c r="BF126" i="10"/>
  <c r="BF129" i="10"/>
  <c r="BF130" i="10"/>
  <c r="BF133" i="10"/>
  <c r="BF134" i="10"/>
  <c r="BF137" i="10"/>
  <c r="BF138" i="10"/>
  <c r="BF141" i="10"/>
  <c r="BF142" i="10"/>
  <c r="AV149" i="10"/>
  <c r="AV150" i="10"/>
  <c r="AV151" i="10"/>
  <c r="AV152" i="10"/>
  <c r="AV125" i="10"/>
  <c r="AV126" i="10"/>
  <c r="AV128" i="10"/>
  <c r="AV129" i="10"/>
  <c r="AV130" i="10"/>
  <c r="AV132" i="10"/>
  <c r="AV133" i="10"/>
  <c r="AV134" i="10"/>
  <c r="AV136" i="10"/>
  <c r="AV137" i="10"/>
  <c r="AV138" i="10"/>
  <c r="AV140" i="10"/>
  <c r="AV141" i="10"/>
  <c r="AV142" i="10"/>
  <c r="AV143" i="10"/>
  <c r="AV144" i="10"/>
  <c r="AV146" i="10"/>
  <c r="AV147" i="10"/>
  <c r="AV148" i="10"/>
  <c r="AV124" i="10"/>
  <c r="AT125" i="10"/>
  <c r="AT127" i="10"/>
  <c r="AT131" i="10"/>
  <c r="AT133" i="10"/>
  <c r="AT135" i="10"/>
  <c r="AP150" i="10"/>
  <c r="AP151" i="10"/>
  <c r="AP152" i="10"/>
  <c r="AP125" i="10"/>
  <c r="AP126" i="10"/>
  <c r="AP127" i="10"/>
  <c r="AP129" i="10"/>
  <c r="AP130" i="10"/>
  <c r="AP131" i="10"/>
  <c r="AP134" i="10"/>
  <c r="AP135" i="10"/>
  <c r="AP136" i="10"/>
  <c r="AP138" i="10"/>
  <c r="AP141" i="10"/>
  <c r="AP143" i="10"/>
  <c r="AP145" i="10"/>
  <c r="AP148" i="10"/>
  <c r="AP149" i="10"/>
  <c r="AP106" i="10"/>
  <c r="AP107" i="10"/>
  <c r="AP108" i="10"/>
  <c r="AP110" i="10"/>
  <c r="AP111" i="10"/>
  <c r="AP112" i="10"/>
  <c r="AT106" i="10"/>
  <c r="AT107" i="10"/>
  <c r="AT108" i="10"/>
  <c r="AT109" i="10"/>
  <c r="AT110" i="10"/>
  <c r="AT112" i="10"/>
  <c r="AT113" i="10"/>
  <c r="AT105" i="10"/>
  <c r="AV106" i="10"/>
  <c r="AV107" i="10"/>
  <c r="AV108" i="10"/>
  <c r="AV109" i="10"/>
  <c r="AV110" i="10"/>
  <c r="AV112" i="10"/>
  <c r="AV113" i="10"/>
  <c r="AV105" i="10"/>
  <c r="BF106" i="10"/>
  <c r="BF107" i="10"/>
  <c r="BF108" i="10"/>
  <c r="BF110" i="10"/>
  <c r="BF111" i="10"/>
  <c r="BF112" i="10"/>
  <c r="BF113" i="10"/>
  <c r="AV70" i="10"/>
  <c r="AV71" i="10"/>
  <c r="AV72" i="10"/>
  <c r="AV73" i="10"/>
  <c r="AV74" i="10"/>
  <c r="AV75" i="10"/>
  <c r="AV76" i="10"/>
  <c r="AV77" i="10"/>
  <c r="AV78" i="10"/>
  <c r="AV79" i="10"/>
  <c r="AV80" i="10"/>
  <c r="AV81" i="10"/>
  <c r="AV82" i="10"/>
  <c r="AV83" i="10"/>
  <c r="AV84" i="10"/>
  <c r="AV86" i="10"/>
  <c r="AV87" i="10"/>
  <c r="AV89" i="10"/>
  <c r="AV90" i="10"/>
  <c r="AV91" i="10"/>
  <c r="AV92" i="10"/>
  <c r="AV94" i="10"/>
  <c r="AV95" i="10"/>
  <c r="AV97" i="10"/>
  <c r="AV98" i="10"/>
  <c r="AV69" i="10"/>
  <c r="AP91" i="10"/>
  <c r="AP93" i="10"/>
  <c r="AP95" i="10"/>
  <c r="AP96" i="10"/>
  <c r="AP97" i="10"/>
  <c r="AP98" i="10"/>
  <c r="AP70" i="10"/>
  <c r="AP71" i="10"/>
  <c r="AP72" i="10"/>
  <c r="AP73" i="10"/>
  <c r="AP74" i="10"/>
  <c r="AP75" i="10"/>
  <c r="AP76" i="10"/>
  <c r="AP77" i="10"/>
  <c r="AP78" i="10"/>
  <c r="AP79" i="10"/>
  <c r="AP80" i="10"/>
  <c r="AP81" i="10"/>
  <c r="AP82" i="10"/>
  <c r="AP83" i="10"/>
  <c r="AP84" i="10"/>
  <c r="AP86" i="10"/>
  <c r="AP88" i="10"/>
  <c r="AP89" i="10"/>
  <c r="AP90" i="10"/>
  <c r="AP69" i="10"/>
  <c r="AT53" i="10"/>
  <c r="AT54" i="10"/>
  <c r="AT55" i="10"/>
  <c r="AT56" i="10"/>
  <c r="AT57" i="10"/>
  <c r="AT58" i="10"/>
  <c r="AT59" i="10"/>
  <c r="AT60" i="10"/>
  <c r="AT61" i="10"/>
  <c r="AT52" i="10"/>
  <c r="AV53" i="10"/>
  <c r="AV54" i="10"/>
  <c r="AV55" i="10"/>
  <c r="AV57" i="10"/>
  <c r="AV59" i="10"/>
  <c r="AV60" i="10"/>
  <c r="AV61" i="10"/>
  <c r="AV52" i="10"/>
  <c r="BF53" i="10"/>
  <c r="BF54" i="10"/>
  <c r="BF55" i="10"/>
  <c r="BF56" i="10"/>
  <c r="BF57" i="10"/>
  <c r="BF59" i="10"/>
  <c r="BF60" i="10"/>
  <c r="BF61" i="10"/>
  <c r="BF52" i="10"/>
  <c r="BF161" i="10"/>
  <c r="BF164" i="10"/>
  <c r="BF165" i="10"/>
  <c r="BF166" i="10"/>
  <c r="BF168" i="10"/>
  <c r="BF160" i="10"/>
  <c r="AP19" i="10"/>
  <c r="Y57" i="10"/>
  <c r="Y56" i="10"/>
  <c r="Y55" i="10"/>
  <c r="Y54" i="10"/>
  <c r="Y53" i="10"/>
  <c r="Y52" i="10"/>
  <c r="Y51" i="10"/>
  <c r="Y50" i="10"/>
  <c r="Y49" i="10"/>
  <c r="Y48" i="10"/>
  <c r="Y33" i="10"/>
  <c r="Y34" i="10"/>
  <c r="Y35" i="10"/>
  <c r="Y36" i="10"/>
  <c r="Y37" i="10"/>
  <c r="Y38" i="10"/>
  <c r="Y39" i="10"/>
  <c r="Y40" i="10"/>
  <c r="Y41" i="10"/>
  <c r="Y42" i="10"/>
  <c r="Y43" i="10"/>
  <c r="Y44" i="10"/>
  <c r="Y45" i="10"/>
  <c r="Y25" i="10"/>
  <c r="Y26" i="10"/>
  <c r="Y27" i="10"/>
  <c r="Y28" i="10"/>
  <c r="Y29" i="10"/>
  <c r="Y30" i="10"/>
  <c r="Y31" i="10"/>
  <c r="Y32" i="10"/>
  <c r="Y17" i="10"/>
  <c r="Y18" i="10"/>
  <c r="Y19" i="10"/>
  <c r="Y20" i="10"/>
  <c r="Y21" i="10"/>
  <c r="Y22" i="10"/>
  <c r="Y23" i="10"/>
  <c r="Y24" i="10"/>
  <c r="Y16" i="10"/>
  <c r="BD53" i="10"/>
  <c r="BD54" i="10"/>
  <c r="BD55" i="10"/>
  <c r="BD56" i="10"/>
  <c r="BD57" i="10"/>
  <c r="BD58" i="10"/>
  <c r="BD59" i="10"/>
  <c r="BD60" i="10"/>
  <c r="BD61" i="10"/>
  <c r="BD52" i="10"/>
  <c r="AP53" i="10"/>
  <c r="AP52" i="10"/>
  <c r="AT35" i="10"/>
  <c r="BF35" i="10"/>
  <c r="AP36" i="10"/>
  <c r="AT36" i="10"/>
  <c r="AP37" i="10"/>
  <c r="AT37" i="10"/>
  <c r="BF37" i="10"/>
  <c r="AT38" i="10"/>
  <c r="BF38" i="10"/>
  <c r="AP39" i="10"/>
  <c r="AT39" i="10"/>
  <c r="AP40" i="10"/>
  <c r="AT40" i="10"/>
  <c r="BF40" i="10"/>
  <c r="AP41" i="10"/>
  <c r="AT41" i="10"/>
  <c r="BF41" i="10"/>
  <c r="AP42" i="10"/>
  <c r="AT42" i="10"/>
  <c r="BF42" i="10"/>
  <c r="AT43" i="10"/>
  <c r="BF43" i="10"/>
  <c r="AP44" i="10"/>
  <c r="AT44" i="10"/>
  <c r="AP45" i="10"/>
  <c r="AT45" i="10"/>
  <c r="BF45" i="10"/>
  <c r="AP17" i="10"/>
  <c r="AT17" i="10"/>
  <c r="BF17" i="10"/>
  <c r="AT18" i="10"/>
  <c r="BF18" i="10"/>
  <c r="AT19" i="10"/>
  <c r="BF19" i="10"/>
  <c r="AP20" i="10"/>
  <c r="BF20" i="10"/>
  <c r="AP21" i="10"/>
  <c r="AT21" i="10"/>
  <c r="BF21" i="10"/>
  <c r="AP22" i="10"/>
  <c r="AT22" i="10"/>
  <c r="BF22" i="10"/>
  <c r="AP23" i="10"/>
  <c r="AT23" i="10"/>
  <c r="BF23" i="10"/>
  <c r="AP24" i="10"/>
  <c r="BF24" i="10"/>
  <c r="AP25" i="10"/>
  <c r="AT25" i="10"/>
  <c r="BF25" i="10"/>
  <c r="AT26" i="10"/>
  <c r="BF26" i="10"/>
  <c r="AP27" i="10"/>
  <c r="AT27" i="10"/>
  <c r="BF27" i="10"/>
  <c r="AP28" i="10"/>
  <c r="AT28" i="10"/>
  <c r="BF28" i="10"/>
  <c r="AP29" i="10"/>
  <c r="AT29" i="10"/>
  <c r="BF29" i="10"/>
  <c r="BF30" i="10"/>
  <c r="AP31" i="10"/>
  <c r="AT31" i="10"/>
  <c r="AP32" i="10"/>
  <c r="AT32" i="10"/>
  <c r="BF32" i="10"/>
  <c r="AP33" i="10"/>
  <c r="AT33" i="10"/>
  <c r="BF33" i="10"/>
  <c r="AP34" i="10"/>
  <c r="AT34" i="10"/>
  <c r="BF34" i="10"/>
  <c r="BF16" i="10"/>
  <c r="AT16" i="10"/>
  <c r="AP16" i="10"/>
  <c r="AC54" i="10"/>
  <c r="AC55" i="10"/>
  <c r="AC56" i="10"/>
  <c r="AC57" i="10"/>
  <c r="AC48" i="10"/>
  <c r="AC49" i="10"/>
  <c r="AC50" i="10"/>
  <c r="AC51" i="10"/>
  <c r="AC52" i="10"/>
  <c r="U47" i="10"/>
  <c r="BD106" i="10"/>
  <c r="BD107" i="10"/>
  <c r="BD108" i="10"/>
  <c r="BD109" i="10"/>
  <c r="BD110" i="10"/>
  <c r="BD111" i="10"/>
  <c r="BD112" i="10"/>
  <c r="BD113" i="10"/>
  <c r="C17" i="10"/>
  <c r="C18" i="10" s="1"/>
  <c r="BF76" i="10"/>
  <c r="BF77" i="10"/>
  <c r="BF78" i="10"/>
  <c r="BF79" i="10"/>
  <c r="BF80" i="10"/>
  <c r="BF81" i="10"/>
  <c r="BF82" i="10"/>
  <c r="BF83" i="10"/>
  <c r="BF85" i="10"/>
  <c r="BF86" i="10"/>
  <c r="BF87" i="10"/>
  <c r="BF89" i="10"/>
  <c r="BF90" i="10"/>
  <c r="BF91" i="10"/>
  <c r="BF93" i="10"/>
  <c r="BF94" i="10"/>
  <c r="BF95" i="10"/>
  <c r="BF97" i="10"/>
  <c r="BF98" i="10"/>
  <c r="BF73" i="10"/>
  <c r="BF74" i="10"/>
  <c r="BF75" i="10"/>
  <c r="BF70" i="10"/>
  <c r="BF71" i="10"/>
  <c r="BF72" i="10"/>
  <c r="BF69" i="10"/>
  <c r="AJ53" i="10"/>
  <c r="AJ54" i="10" s="1"/>
  <c r="AJ55" i="10" s="1"/>
  <c r="AJ56" i="10" s="1"/>
  <c r="AJ57" i="10" s="1"/>
  <c r="AJ58" i="10" s="1"/>
  <c r="AJ59" i="10" s="1"/>
  <c r="AJ60" i="10" s="1"/>
  <c r="AJ61" i="10" s="1"/>
  <c r="C49" i="10"/>
  <c r="C50" i="10"/>
  <c r="C51" i="10" s="1"/>
  <c r="AR55" i="10"/>
  <c r="AZ55" i="10"/>
  <c r="AR56" i="10"/>
  <c r="AZ56" i="10"/>
  <c r="AR57" i="10"/>
  <c r="AZ57" i="10"/>
  <c r="AR58" i="10"/>
  <c r="AZ58" i="10"/>
  <c r="AR59" i="10"/>
  <c r="AZ59" i="10"/>
  <c r="AR60" i="10"/>
  <c r="AZ60" i="10"/>
  <c r="AR61" i="10"/>
  <c r="AZ61" i="10"/>
  <c r="BQ25" i="10"/>
  <c r="AI57" i="10"/>
  <c r="BC103" i="10"/>
  <c r="AY103" i="10"/>
  <c r="AU103" i="10"/>
  <c r="AQ103" i="10"/>
  <c r="AM103" i="10"/>
  <c r="AJ9" i="10"/>
  <c r="AI40" i="10"/>
  <c r="AI41" i="10"/>
  <c r="AI42" i="10"/>
  <c r="AI43" i="10"/>
  <c r="AI44" i="10"/>
  <c r="AI45" i="10"/>
  <c r="AR161" i="10"/>
  <c r="AV161" i="10"/>
  <c r="AZ161" i="10"/>
  <c r="AV162" i="10"/>
  <c r="AR163" i="10"/>
  <c r="AV163" i="10"/>
  <c r="AZ163" i="10"/>
  <c r="AR164" i="10"/>
  <c r="AV164" i="10"/>
  <c r="AZ164" i="10"/>
  <c r="AR165" i="10"/>
  <c r="AV165" i="10"/>
  <c r="AZ165" i="10"/>
  <c r="AR166" i="10"/>
  <c r="AV166" i="10"/>
  <c r="AR167" i="10"/>
  <c r="AV167" i="10"/>
  <c r="AZ167" i="10"/>
  <c r="AR168" i="10"/>
  <c r="AV168" i="10"/>
  <c r="AZ168" i="10"/>
  <c r="AV160" i="10"/>
  <c r="AR125" i="10"/>
  <c r="AZ125" i="10"/>
  <c r="AZ126" i="10"/>
  <c r="AZ127" i="10"/>
  <c r="AZ128" i="10"/>
  <c r="AZ129" i="10"/>
  <c r="AZ130" i="10"/>
  <c r="AZ131" i="10"/>
  <c r="AZ132" i="10"/>
  <c r="AZ133" i="10"/>
  <c r="AZ134" i="10"/>
  <c r="AR135" i="10"/>
  <c r="AZ135" i="10"/>
  <c r="AR136" i="10"/>
  <c r="AZ136" i="10"/>
  <c r="AR137" i="10"/>
  <c r="AZ137" i="10"/>
  <c r="AZ138" i="10"/>
  <c r="AR139" i="10"/>
  <c r="AZ139" i="10"/>
  <c r="AR140" i="10"/>
  <c r="AR141" i="10"/>
  <c r="AZ141" i="10"/>
  <c r="AZ142" i="10"/>
  <c r="AR143" i="10"/>
  <c r="AZ143" i="10"/>
  <c r="AR144" i="10"/>
  <c r="AZ144" i="10"/>
  <c r="AR145" i="10"/>
  <c r="AZ145" i="10"/>
  <c r="AZ146" i="10"/>
  <c r="AR147" i="10"/>
  <c r="AZ147" i="10"/>
  <c r="AR148" i="10"/>
  <c r="AR149" i="10"/>
  <c r="AZ149" i="10"/>
  <c r="AZ150" i="10"/>
  <c r="AR151" i="10"/>
  <c r="AZ151" i="10"/>
  <c r="AR152" i="10"/>
  <c r="AZ152" i="10"/>
  <c r="AR153" i="10"/>
  <c r="AR108" i="10"/>
  <c r="AZ108" i="10"/>
  <c r="AR109" i="10"/>
  <c r="AZ109" i="10"/>
  <c r="AR110" i="10"/>
  <c r="AZ110" i="10"/>
  <c r="AR112" i="10"/>
  <c r="AZ112" i="10"/>
  <c r="AR113" i="10"/>
  <c r="AZ113" i="10"/>
  <c r="AZ71" i="10"/>
  <c r="AZ72" i="10"/>
  <c r="AZ73" i="10"/>
  <c r="AZ74" i="10"/>
  <c r="AZ75" i="10"/>
  <c r="AZ76" i="10"/>
  <c r="AZ77" i="10"/>
  <c r="AZ78" i="10"/>
  <c r="AZ79" i="10"/>
  <c r="AZ80" i="10"/>
  <c r="AZ84" i="10"/>
  <c r="AZ85" i="10"/>
  <c r="AZ86" i="10"/>
  <c r="AZ87" i="10"/>
  <c r="AZ88" i="10"/>
  <c r="AZ91" i="10"/>
  <c r="AZ92" i="10"/>
  <c r="AZ93" i="10"/>
  <c r="AZ95" i="10"/>
  <c r="AZ96" i="10"/>
  <c r="AZ97" i="10"/>
  <c r="AZ98" i="10"/>
  <c r="AR52" i="10"/>
  <c r="AR54" i="10"/>
  <c r="AZ54" i="10"/>
  <c r="AR53" i="10"/>
  <c r="AZ52" i="10"/>
  <c r="BD151" i="10"/>
  <c r="BD147" i="10"/>
  <c r="BD143" i="10"/>
  <c r="BD98" i="10"/>
  <c r="AR98" i="10"/>
  <c r="BD97" i="10"/>
  <c r="AR96" i="10"/>
  <c r="BD95" i="10"/>
  <c r="AR95" i="10"/>
  <c r="BD94" i="10"/>
  <c r="AR94" i="10"/>
  <c r="BD93" i="10"/>
  <c r="AR93" i="10"/>
  <c r="AR92" i="10"/>
  <c r="BD91" i="10"/>
  <c r="AR69" i="10"/>
  <c r="AZ69" i="10"/>
  <c r="AZ90" i="10"/>
  <c r="BD139" i="10"/>
  <c r="AR89" i="10"/>
  <c r="BD90" i="10"/>
  <c r="AR90" i="10"/>
  <c r="BD89" i="10"/>
  <c r="AZ105" i="10"/>
  <c r="BD153" i="10"/>
  <c r="BD149" i="10"/>
  <c r="BD145" i="10"/>
  <c r="BD141" i="10"/>
  <c r="AZ53" i="10"/>
  <c r="BD150" i="10"/>
  <c r="BD148" i="10"/>
  <c r="BD146" i="10"/>
  <c r="BD142" i="10"/>
  <c r="BD140" i="10"/>
  <c r="BD160" i="10"/>
  <c r="AR88" i="10"/>
  <c r="BD87" i="10"/>
  <c r="AR87" i="10"/>
  <c r="BD86" i="10"/>
  <c r="AR86" i="10"/>
  <c r="BD85" i="10"/>
  <c r="AR85" i="10"/>
  <c r="AR84" i="10"/>
  <c r="BD83" i="10"/>
  <c r="AZ82" i="10"/>
  <c r="AR82" i="10"/>
  <c r="BD81" i="10"/>
  <c r="AR105" i="10"/>
  <c r="BD69" i="10"/>
  <c r="BD82" i="10"/>
  <c r="AZ81" i="10"/>
  <c r="AZ106" i="10"/>
  <c r="AR106" i="10"/>
  <c r="BD124" i="10"/>
  <c r="AR81" i="10"/>
  <c r="BD80" i="10"/>
  <c r="AR80" i="10"/>
  <c r="BD79" i="10"/>
  <c r="BD78" i="10"/>
  <c r="AZ70" i="10"/>
  <c r="AR70" i="10"/>
  <c r="AR124" i="10"/>
  <c r="AZ124" i="10"/>
  <c r="AZ153" i="10"/>
  <c r="BD138" i="10"/>
  <c r="BD136" i="10"/>
  <c r="BD134" i="10"/>
  <c r="AP160" i="10"/>
  <c r="AT160" i="10"/>
  <c r="AR160" i="10"/>
  <c r="AZ160" i="10"/>
  <c r="BD137" i="10"/>
  <c r="BD135" i="10"/>
  <c r="BD133" i="10"/>
  <c r="BD168" i="10"/>
  <c r="AT168" i="10"/>
  <c r="AP168" i="10"/>
  <c r="BD167" i="10"/>
  <c r="AT167" i="10"/>
  <c r="BD166" i="10"/>
  <c r="AT166" i="10"/>
  <c r="AP166" i="10"/>
  <c r="BD165" i="10"/>
  <c r="AT165" i="10"/>
  <c r="AP165" i="10"/>
  <c r="BD164" i="10"/>
  <c r="AT164" i="10"/>
  <c r="AP164" i="10"/>
  <c r="AT163" i="10"/>
  <c r="BD162" i="10"/>
  <c r="AT162" i="10"/>
  <c r="AP162" i="10"/>
  <c r="BD161" i="10"/>
  <c r="AT161" i="10"/>
  <c r="AP161" i="10"/>
  <c r="AR133" i="10"/>
  <c r="AR132" i="10"/>
  <c r="BD131" i="10"/>
  <c r="AR131" i="10"/>
  <c r="BD130" i="10"/>
  <c r="BD129" i="10"/>
  <c r="AR129" i="10"/>
  <c r="AR128" i="10"/>
  <c r="BD127" i="10"/>
  <c r="AR127" i="10"/>
  <c r="BD126" i="10"/>
  <c r="AR126" i="10"/>
  <c r="BD125" i="10"/>
  <c r="AR78" i="10"/>
  <c r="BD77" i="10"/>
  <c r="AR77" i="10"/>
  <c r="BD76" i="10"/>
  <c r="AR76" i="10"/>
  <c r="BD75" i="10"/>
  <c r="BD74" i="10"/>
  <c r="AR74" i="10"/>
  <c r="BD73" i="10"/>
  <c r="AR73" i="10"/>
  <c r="BD72" i="10"/>
  <c r="AR72" i="10"/>
  <c r="BD71" i="10"/>
  <c r="BD70" i="10"/>
  <c r="AL161" i="10"/>
  <c r="AL162" i="10"/>
  <c r="AL163" i="10" s="1"/>
  <c r="AL164" i="10" s="1"/>
  <c r="AL165" i="10" s="1"/>
  <c r="AL166" i="10" s="1"/>
  <c r="AL167" i="10" s="1"/>
  <c r="AL168" i="10" s="1"/>
  <c r="AL125" i="10"/>
  <c r="AL126" i="10"/>
  <c r="AL127" i="10" s="1"/>
  <c r="AL128" i="10" s="1"/>
  <c r="AL129" i="10" s="1"/>
  <c r="AL130" i="10" s="1"/>
  <c r="AL131" i="10" s="1"/>
  <c r="AL132" i="10" s="1"/>
  <c r="AL133" i="10" s="1"/>
  <c r="AL134" i="10" s="1"/>
  <c r="AL135" i="10" s="1"/>
  <c r="AL136" i="10" s="1"/>
  <c r="AL137" i="10" s="1"/>
  <c r="AL138" i="10" s="1"/>
  <c r="AL139" i="10" s="1"/>
  <c r="AL140" i="10" s="1"/>
  <c r="AL141" i="10" s="1"/>
  <c r="AL142" i="10" s="1"/>
  <c r="AL143" i="10" s="1"/>
  <c r="AL144" i="10" s="1"/>
  <c r="AL145" i="10" s="1"/>
  <c r="AL146" i="10" s="1"/>
  <c r="AL147" i="10" s="1"/>
  <c r="AL148" i="10" s="1"/>
  <c r="AL149" i="10" s="1"/>
  <c r="AL150" i="10" s="1"/>
  <c r="AL151" i="10" s="1"/>
  <c r="AL152" i="10" s="1"/>
  <c r="AL153" i="10" s="1"/>
  <c r="AL106" i="10"/>
  <c r="AL107" i="10" s="1"/>
  <c r="AL108" i="10" s="1"/>
  <c r="AL109" i="10" s="1"/>
  <c r="AL110" i="10" s="1"/>
  <c r="AL111" i="10" s="1"/>
  <c r="AL112" i="10" s="1"/>
  <c r="AL113" i="10" s="1"/>
  <c r="BB159" i="10"/>
  <c r="BA159" i="10"/>
  <c r="AN159" i="10"/>
  <c r="BB156" i="10"/>
  <c r="BA156" i="10"/>
  <c r="AN156" i="10"/>
  <c r="BB155" i="10"/>
  <c r="BC154" i="10"/>
  <c r="AY154" i="10"/>
  <c r="AU154" i="10"/>
  <c r="AL154" i="10"/>
  <c r="AN104" i="10"/>
  <c r="AL99" i="10"/>
  <c r="AU99" i="10"/>
  <c r="AY99" i="10"/>
  <c r="BC99" i="10"/>
  <c r="BB100" i="10"/>
  <c r="AN51" i="10"/>
  <c r="BC46" i="10"/>
  <c r="AY46" i="10"/>
  <c r="AU46" i="10"/>
  <c r="AJ17" i="10"/>
  <c r="AJ18" i="10"/>
  <c r="V15" i="10"/>
  <c r="V47" i="10" s="1"/>
  <c r="AL51" i="10"/>
  <c r="K6" i="10"/>
  <c r="W15" i="10"/>
  <c r="W47" i="10" s="1"/>
  <c r="Z47" i="10"/>
  <c r="BP44" i="10"/>
  <c r="BP45" i="10"/>
  <c r="BT44" i="10"/>
  <c r="BS44" i="10"/>
  <c r="BA48" i="10"/>
  <c r="BB48" i="10"/>
  <c r="BA51" i="10"/>
  <c r="BB51" i="10"/>
  <c r="AN48" i="10"/>
  <c r="O47" i="10"/>
  <c r="S47" i="10"/>
  <c r="U15" i="10"/>
  <c r="X47" i="10"/>
  <c r="Y47" i="10"/>
  <c r="C26" i="2"/>
  <c r="AL53" i="10"/>
  <c r="AL52" i="10"/>
  <c r="AL46" i="10"/>
  <c r="AK51" i="10"/>
  <c r="AL16" i="10"/>
  <c r="AL69" i="10"/>
  <c r="AL17" i="10"/>
  <c r="AL70" i="10"/>
  <c r="AL54" i="10"/>
  <c r="BA104" i="10"/>
  <c r="BB104" i="10"/>
  <c r="AJ19" i="10"/>
  <c r="AJ20" i="10" s="1"/>
  <c r="AJ21" i="10" s="1"/>
  <c r="AJ22" i="10" s="1"/>
  <c r="AJ23" i="10" s="1"/>
  <c r="AJ24" i="10" s="1"/>
  <c r="AJ25" i="10" s="1"/>
  <c r="AJ26" i="10" s="1"/>
  <c r="AJ27" i="10" s="1"/>
  <c r="AJ28" i="10" s="1"/>
  <c r="AJ29" i="10" s="1"/>
  <c r="AJ30" i="10" s="1"/>
  <c r="AJ31" i="10" s="1"/>
  <c r="AJ32" i="10" s="1"/>
  <c r="AJ33" i="10" s="1"/>
  <c r="AJ34" i="10" s="1"/>
  <c r="AJ35" i="10" s="1"/>
  <c r="AJ36" i="10" s="1"/>
  <c r="AJ37" i="10" s="1"/>
  <c r="AJ38" i="10" s="1"/>
  <c r="AJ39" i="10" s="1"/>
  <c r="AJ40" i="10" s="1"/>
  <c r="AJ41" i="10" s="1"/>
  <c r="AJ42" i="10" s="1"/>
  <c r="AJ43" i="10" s="1"/>
  <c r="AJ44" i="10" s="1"/>
  <c r="AJ45" i="10" s="1"/>
  <c r="AN101" i="10"/>
  <c r="BB101" i="10"/>
  <c r="BA101" i="10"/>
  <c r="AR24" i="10" l="1"/>
  <c r="AT24" i="10"/>
  <c r="AR20" i="10"/>
  <c r="AT20" i="10"/>
  <c r="AN38" i="10"/>
  <c r="AP38" i="10"/>
  <c r="AN18" i="10"/>
  <c r="AO18" i="10" s="1"/>
  <c r="AP18" i="10"/>
  <c r="AX93" i="10"/>
  <c r="AV93" i="10"/>
  <c r="BB94" i="10"/>
  <c r="AZ94" i="10"/>
  <c r="AX153" i="10"/>
  <c r="AV153" i="10"/>
  <c r="BE95" i="10"/>
  <c r="AW95" i="10"/>
  <c r="AS95" i="10"/>
  <c r="BA95" i="10"/>
  <c r="AO95" i="10"/>
  <c r="BE91" i="10"/>
  <c r="AS91" i="10"/>
  <c r="AW91" i="10"/>
  <c r="BA91" i="10"/>
  <c r="AO91" i="10"/>
  <c r="BE87" i="10"/>
  <c r="BA87" i="10"/>
  <c r="AW87" i="10"/>
  <c r="AS87" i="10"/>
  <c r="AO87" i="10"/>
  <c r="BA168" i="10"/>
  <c r="AS168" i="10"/>
  <c r="BE168" i="10"/>
  <c r="AW168" i="10"/>
  <c r="AO168" i="10"/>
  <c r="AT71" i="10"/>
  <c r="AR71" i="10"/>
  <c r="AT83" i="10"/>
  <c r="AR83" i="10"/>
  <c r="AT79" i="10"/>
  <c r="AR79" i="10"/>
  <c r="AR99" i="10" s="1"/>
  <c r="AT97" i="10"/>
  <c r="AR97" i="10"/>
  <c r="BD163" i="10"/>
  <c r="AZ166" i="10"/>
  <c r="AZ162" i="10"/>
  <c r="AP30" i="10"/>
  <c r="AP26" i="10"/>
  <c r="BF96" i="10"/>
  <c r="BD96" i="10"/>
  <c r="BF92" i="10"/>
  <c r="BD92" i="10"/>
  <c r="BD88" i="10"/>
  <c r="BF88" i="10"/>
  <c r="BD84" i="10"/>
  <c r="BF84" i="10"/>
  <c r="AN43" i="10"/>
  <c r="AP43" i="10"/>
  <c r="AN35" i="10"/>
  <c r="AP35" i="10"/>
  <c r="BD44" i="10"/>
  <c r="BF44" i="10"/>
  <c r="BD36" i="10"/>
  <c r="BF36" i="10"/>
  <c r="AN92" i="10"/>
  <c r="AP92" i="10"/>
  <c r="AX96" i="10"/>
  <c r="AV96" i="10"/>
  <c r="BB111" i="10"/>
  <c r="AZ111" i="10"/>
  <c r="BB107" i="10"/>
  <c r="AZ107" i="10"/>
  <c r="AX139" i="10"/>
  <c r="AV139" i="10"/>
  <c r="AX135" i="10"/>
  <c r="AV135" i="10"/>
  <c r="AX131" i="10"/>
  <c r="AV131" i="10"/>
  <c r="AX127" i="10"/>
  <c r="AV127" i="10"/>
  <c r="BB140" i="10"/>
  <c r="AZ140" i="10"/>
  <c r="AS79" i="10"/>
  <c r="AO150" i="10"/>
  <c r="AS150" i="10"/>
  <c r="BA150" i="10"/>
  <c r="AO146" i="10"/>
  <c r="BA146" i="10"/>
  <c r="AW146" i="10"/>
  <c r="AS146" i="10"/>
  <c r="AO142" i="10"/>
  <c r="AW142" i="10"/>
  <c r="BA142" i="10"/>
  <c r="AS142" i="10"/>
  <c r="BD39" i="10"/>
  <c r="BF39" i="10"/>
  <c r="BD31" i="10"/>
  <c r="BF31" i="10"/>
  <c r="AR75" i="10"/>
  <c r="AR91" i="10"/>
  <c r="AN132" i="10"/>
  <c r="AO132" i="10" s="1"/>
  <c r="AP132" i="10"/>
  <c r="AN128" i="10"/>
  <c r="AP128" i="10"/>
  <c r="AN124" i="10"/>
  <c r="AO124" i="10" s="1"/>
  <c r="AP124" i="10"/>
  <c r="AT150" i="10"/>
  <c r="AR150" i="10"/>
  <c r="AT146" i="10"/>
  <c r="AR146" i="10"/>
  <c r="AT142" i="10"/>
  <c r="AR142" i="10"/>
  <c r="AT134" i="10"/>
  <c r="AR134" i="10"/>
  <c r="AS130" i="10"/>
  <c r="AR130" i="10"/>
  <c r="BF152" i="10"/>
  <c r="BD152" i="10"/>
  <c r="BF144" i="10"/>
  <c r="BD144" i="10"/>
  <c r="BE136" i="10"/>
  <c r="BF136" i="10"/>
  <c r="BE132" i="10"/>
  <c r="BD132" i="10"/>
  <c r="BF132" i="10"/>
  <c r="BD128" i="10"/>
  <c r="BF128" i="10"/>
  <c r="AN94" i="10"/>
  <c r="AP94" i="10"/>
  <c r="AN113" i="10"/>
  <c r="AP113" i="10"/>
  <c r="AN109" i="10"/>
  <c r="AP109" i="10"/>
  <c r="BE105" i="10"/>
  <c r="BD105" i="10"/>
  <c r="BF105" i="10"/>
  <c r="W53" i="10"/>
  <c r="AC53" i="10"/>
  <c r="AR30" i="10"/>
  <c r="AT30" i="10"/>
  <c r="BA45" i="10"/>
  <c r="AO45" i="10"/>
  <c r="AO41" i="10"/>
  <c r="BE41" i="10"/>
  <c r="BA37" i="10"/>
  <c r="AO37" i="10"/>
  <c r="AO33" i="10"/>
  <c r="BE33" i="10"/>
  <c r="AV36" i="10"/>
  <c r="BB36" i="10" s="1"/>
  <c r="AX36" i="10"/>
  <c r="AV30" i="10"/>
  <c r="BB30" i="10" s="1"/>
  <c r="AX30" i="10"/>
  <c r="AV22" i="10"/>
  <c r="BB22" i="10" s="1"/>
  <c r="AX22" i="10"/>
  <c r="AX56" i="10"/>
  <c r="AV56" i="10"/>
  <c r="AX85" i="10"/>
  <c r="AV85" i="10"/>
  <c r="AW78" i="10"/>
  <c r="BB83" i="10"/>
  <c r="AZ83" i="10"/>
  <c r="AX145" i="10"/>
  <c r="AV145" i="10"/>
  <c r="BA41" i="10"/>
  <c r="BE45" i="10"/>
  <c r="BE37" i="10"/>
  <c r="AN87" i="10"/>
  <c r="AP87" i="10"/>
  <c r="AN85" i="10"/>
  <c r="AP85" i="10"/>
  <c r="AX88" i="10"/>
  <c r="AV88" i="10"/>
  <c r="BB89" i="10"/>
  <c r="AZ89" i="10"/>
  <c r="BB148" i="10"/>
  <c r="AZ148" i="10"/>
  <c r="AS75" i="10"/>
  <c r="AS111" i="10"/>
  <c r="AS107" i="10"/>
  <c r="AR107" i="10"/>
  <c r="AW111" i="10"/>
  <c r="AW107" i="10"/>
  <c r="AX107" i="10"/>
  <c r="AO29" i="10"/>
  <c r="AO17" i="10"/>
  <c r="AO78" i="10"/>
  <c r="AO74" i="10"/>
  <c r="AO70" i="10"/>
  <c r="BE78" i="10"/>
  <c r="BA78" i="10"/>
  <c r="BA74" i="10"/>
  <c r="AW134" i="10"/>
  <c r="AW130" i="10"/>
  <c r="AP139" i="10"/>
  <c r="AT129" i="10"/>
  <c r="BF135" i="10"/>
  <c r="BF131" i="10"/>
  <c r="BF127" i="10"/>
  <c r="AS124" i="10"/>
  <c r="BE130" i="10"/>
  <c r="BA29" i="10"/>
  <c r="BA25" i="10"/>
  <c r="BA21" i="10"/>
  <c r="BE44" i="10"/>
  <c r="BE36" i="10"/>
  <c r="BA54" i="10"/>
  <c r="BE111" i="10"/>
  <c r="BE107" i="10"/>
  <c r="AS28" i="10"/>
  <c r="AV24" i="10"/>
  <c r="BB24" i="10" s="1"/>
  <c r="AX24" i="10"/>
  <c r="BA164" i="10"/>
  <c r="AS105" i="10"/>
  <c r="AS164" i="10"/>
  <c r="BA130" i="10"/>
  <c r="AS71" i="10"/>
  <c r="BA92" i="10"/>
  <c r="AO92" i="10"/>
  <c r="BA84" i="10"/>
  <c r="AO84" i="10"/>
  <c r="AO147" i="10"/>
  <c r="AW147" i="10"/>
  <c r="AS147" i="10"/>
  <c r="AO143" i="10"/>
  <c r="AW143" i="10"/>
  <c r="AS143" i="10"/>
  <c r="AW139" i="10"/>
  <c r="AS139" i="10"/>
  <c r="BE28" i="10"/>
  <c r="BE24" i="10"/>
  <c r="BE20" i="10"/>
  <c r="BE79" i="10"/>
  <c r="BE75" i="10"/>
  <c r="BE71" i="10"/>
  <c r="BA55" i="10"/>
  <c r="AO110" i="10"/>
  <c r="AO106" i="10"/>
  <c r="BE110" i="10"/>
  <c r="BE106" i="10"/>
  <c r="BE114" i="10" s="1"/>
  <c r="N89" i="10" s="1"/>
  <c r="O89" i="10" s="1"/>
  <c r="AW80" i="10"/>
  <c r="BA110" i="10"/>
  <c r="BA106" i="10"/>
  <c r="AW125" i="10"/>
  <c r="BA135" i="10"/>
  <c r="BA127" i="10"/>
  <c r="AW164" i="10"/>
  <c r="BA160" i="10"/>
  <c r="AS110" i="10"/>
  <c r="AS106" i="10"/>
  <c r="AS114" i="10" s="1"/>
  <c r="K89" i="10" s="1"/>
  <c r="L89" i="10" s="1"/>
  <c r="AW110" i="10"/>
  <c r="AW106" i="10"/>
  <c r="AS82" i="10"/>
  <c r="AL55" i="10"/>
  <c r="C52" i="10"/>
  <c r="C19" i="10"/>
  <c r="AL18" i="10"/>
  <c r="AL71" i="10" s="1"/>
  <c r="AP146" i="10"/>
  <c r="AP142" i="10"/>
  <c r="AT124" i="10"/>
  <c r="AT132" i="10"/>
  <c r="AT128" i="10"/>
  <c r="AP144" i="10"/>
  <c r="AP140" i="10"/>
  <c r="AT130" i="10"/>
  <c r="AT126" i="10"/>
  <c r="E45" i="11"/>
  <c r="I45" i="11" s="1"/>
  <c r="E52" i="11"/>
  <c r="I52" i="11" s="1"/>
  <c r="AS61" i="10"/>
  <c r="AS58" i="10"/>
  <c r="BA61" i="10"/>
  <c r="AS45" i="10"/>
  <c r="AS41" i="10"/>
  <c r="AS37" i="10"/>
  <c r="AS33" i="10"/>
  <c r="AX27" i="10"/>
  <c r="AW98" i="10"/>
  <c r="AW94" i="10"/>
  <c r="AW90" i="10"/>
  <c r="AW86" i="10"/>
  <c r="BA98" i="10"/>
  <c r="BA94" i="10"/>
  <c r="BA90" i="10"/>
  <c r="BE96" i="10"/>
  <c r="BE92" i="10"/>
  <c r="BE88" i="10"/>
  <c r="AS153" i="10"/>
  <c r="AW152" i="10"/>
  <c r="AW148" i="10"/>
  <c r="BA151" i="10"/>
  <c r="BA147" i="10"/>
  <c r="BA143" i="10"/>
  <c r="BE152" i="10"/>
  <c r="BE150" i="10"/>
  <c r="BE148" i="10"/>
  <c r="BE146" i="10"/>
  <c r="BE144" i="10"/>
  <c r="BE142" i="10"/>
  <c r="BE140" i="10"/>
  <c r="G39" i="11"/>
  <c r="AN61" i="10"/>
  <c r="AO54" i="10"/>
  <c r="AS53" i="10"/>
  <c r="AS62" i="10" s="1"/>
  <c r="K80" i="10" s="1"/>
  <c r="AS43" i="10"/>
  <c r="AS39" i="10"/>
  <c r="AS35" i="10"/>
  <c r="AX31" i="10"/>
  <c r="AW96" i="10"/>
  <c r="AW92" i="10"/>
  <c r="AS151" i="10"/>
  <c r="AW150" i="10"/>
  <c r="BA153" i="10"/>
  <c r="BA149" i="10"/>
  <c r="BA145" i="10"/>
  <c r="BE153" i="10"/>
  <c r="BE151" i="10"/>
  <c r="BE149" i="10"/>
  <c r="BE147" i="10"/>
  <c r="BE145" i="10"/>
  <c r="BE143" i="10"/>
  <c r="BE141" i="10"/>
  <c r="BE139" i="10"/>
  <c r="AO139" i="10"/>
  <c r="AS31" i="10"/>
  <c r="BE138" i="10"/>
  <c r="AO138" i="10"/>
  <c r="AO103" i="10"/>
  <c r="AS68" i="10"/>
  <c r="AW68" i="10" s="1"/>
  <c r="BA68" i="10" s="1"/>
  <c r="BE68" i="10" s="1"/>
  <c r="BE52" i="10"/>
  <c r="AX132" i="10"/>
  <c r="AX78" i="10"/>
  <c r="AX28" i="10"/>
  <c r="AX136" i="10"/>
  <c r="AO134" i="10"/>
  <c r="AO130" i="10"/>
  <c r="AO126" i="10"/>
  <c r="AO137" i="10"/>
  <c r="AO133" i="10"/>
  <c r="AO129" i="10"/>
  <c r="AO125" i="10"/>
  <c r="AX82" i="10"/>
  <c r="AO136" i="10"/>
  <c r="AO128" i="10"/>
  <c r="BB76" i="10"/>
  <c r="AV20" i="10"/>
  <c r="BB20" i="10" s="1"/>
  <c r="H44" i="11"/>
  <c r="G43" i="11"/>
  <c r="E41" i="11"/>
  <c r="I41" i="11" s="1"/>
  <c r="G40" i="11"/>
  <c r="E56" i="11"/>
  <c r="I56" i="11" s="1"/>
  <c r="E53" i="11"/>
  <c r="I53" i="11" s="1"/>
  <c r="G36" i="11"/>
  <c r="G44" i="11"/>
  <c r="E42" i="11"/>
  <c r="I42" i="11" s="1"/>
  <c r="E39" i="11"/>
  <c r="I39" i="11" s="1"/>
  <c r="E47" i="11"/>
  <c r="I47" i="11" s="1"/>
  <c r="E57" i="11"/>
  <c r="I57" i="11" s="1"/>
  <c r="E46" i="11"/>
  <c r="I46" i="11" s="1"/>
  <c r="E43" i="11"/>
  <c r="I43" i="11" s="1"/>
  <c r="G41" i="11"/>
  <c r="E51" i="11"/>
  <c r="I51" i="11" s="1"/>
  <c r="E48" i="11"/>
  <c r="I48" i="11" s="1"/>
  <c r="E44" i="11"/>
  <c r="I44" i="11" s="1"/>
  <c r="G42" i="11"/>
  <c r="E40" i="11"/>
  <c r="I40" i="11" s="1"/>
  <c r="G56" i="11"/>
  <c r="E54" i="11"/>
  <c r="I54" i="11" s="1"/>
  <c r="E50" i="11"/>
  <c r="I50" i="11" s="1"/>
  <c r="H34" i="11"/>
  <c r="E36" i="12"/>
  <c r="I36" i="12" s="1"/>
  <c r="T56" i="10" s="1"/>
  <c r="U146" i="10" s="1"/>
  <c r="AR111" i="10"/>
  <c r="AV58" i="10"/>
  <c r="AV111" i="10"/>
  <c r="AN58" i="10"/>
  <c r="AO58" i="10" s="1"/>
  <c r="BE58" i="10"/>
  <c r="AT111" i="10"/>
  <c r="AS166" i="10"/>
  <c r="AS59" i="10"/>
  <c r="AW58" i="10"/>
  <c r="AX111" i="10"/>
  <c r="AW166" i="10"/>
  <c r="BA17" i="10"/>
  <c r="AS57" i="10"/>
  <c r="BA109" i="10"/>
  <c r="AS109" i="10"/>
  <c r="AW109" i="10"/>
  <c r="AO109" i="10"/>
  <c r="BE109" i="10"/>
  <c r="AS55" i="10"/>
  <c r="BE164" i="10"/>
  <c r="BE165" i="10"/>
  <c r="BE57" i="10"/>
  <c r="AH76" i="10"/>
  <c r="AS56" i="10"/>
  <c r="BA56" i="10"/>
  <c r="BE56" i="10"/>
  <c r="AN164" i="10"/>
  <c r="AO164" i="10" s="1"/>
  <c r="AW60" i="10"/>
  <c r="AS60" i="10"/>
  <c r="BE60" i="10"/>
  <c r="AX166" i="10"/>
  <c r="AX164" i="10"/>
  <c r="AN166" i="10"/>
  <c r="AO166" i="10" s="1"/>
  <c r="AO60" i="10"/>
  <c r="AP60" i="10"/>
  <c r="AN57" i="10"/>
  <c r="AO57" i="10" s="1"/>
  <c r="AP57" i="10"/>
  <c r="AN56" i="10"/>
  <c r="AO56" i="10" s="1"/>
  <c r="BE59" i="10"/>
  <c r="AN112" i="10"/>
  <c r="BE55" i="10"/>
  <c r="BE54" i="10"/>
  <c r="W49" i="10"/>
  <c r="Z49" i="10"/>
  <c r="AX162" i="10"/>
  <c r="BB160" i="10"/>
  <c r="AR162" i="10"/>
  <c r="AO52" i="10"/>
  <c r="BE163" i="10"/>
  <c r="Z51" i="10"/>
  <c r="BE53" i="10"/>
  <c r="BE162" i="10"/>
  <c r="AO162" i="10"/>
  <c r="AO108" i="10"/>
  <c r="AN105" i="10"/>
  <c r="AO105" i="10" s="1"/>
  <c r="W48" i="10"/>
  <c r="Z48" i="10"/>
  <c r="AW105" i="10"/>
  <c r="BE161" i="10"/>
  <c r="Z50" i="10"/>
  <c r="AP137" i="10"/>
  <c r="AP133" i="10"/>
  <c r="AT137" i="10"/>
  <c r="AV25" i="10"/>
  <c r="BB25" i="10" s="1"/>
  <c r="BB78" i="10"/>
  <c r="AW84" i="10"/>
  <c r="BE84" i="10"/>
  <c r="AS138" i="10"/>
  <c r="AW138" i="10"/>
  <c r="BA139" i="10"/>
  <c r="AX29" i="10"/>
  <c r="AX80" i="10"/>
  <c r="AX134" i="10"/>
  <c r="BB132" i="10"/>
  <c r="AX21" i="10"/>
  <c r="AX17" i="10"/>
  <c r="AX76" i="10"/>
  <c r="BB74" i="10"/>
  <c r="AX130" i="10"/>
  <c r="BB130" i="10"/>
  <c r="AX72" i="10"/>
  <c r="AR22" i="10"/>
  <c r="AS22" i="10" s="1"/>
  <c r="AO72" i="10"/>
  <c r="AX18" i="10"/>
  <c r="AX128" i="10"/>
  <c r="G34" i="11"/>
  <c r="F35" i="11"/>
  <c r="F49" i="12"/>
  <c r="F44" i="11"/>
  <c r="F43" i="11"/>
  <c r="F42" i="11"/>
  <c r="F41" i="11"/>
  <c r="F40" i="11"/>
  <c r="F39" i="11"/>
  <c r="F56" i="11"/>
  <c r="F55" i="11"/>
  <c r="F54" i="11"/>
  <c r="F53" i="11"/>
  <c r="F52" i="11"/>
  <c r="F51" i="11"/>
  <c r="F50" i="11"/>
  <c r="F49" i="11"/>
  <c r="F48" i="11"/>
  <c r="F47" i="11"/>
  <c r="F46" i="11"/>
  <c r="F45" i="11"/>
  <c r="F57" i="11"/>
  <c r="E48" i="12"/>
  <c r="I48" i="12" s="1"/>
  <c r="F54" i="12"/>
  <c r="G55" i="12"/>
  <c r="H43" i="11"/>
  <c r="H42" i="11"/>
  <c r="H41" i="11"/>
  <c r="H40" i="11"/>
  <c r="H39" i="11"/>
  <c r="H56" i="11"/>
  <c r="H55" i="11"/>
  <c r="H54" i="11"/>
  <c r="H53" i="11"/>
  <c r="H52" i="11"/>
  <c r="H51" i="11"/>
  <c r="H50" i="11"/>
  <c r="H49" i="11"/>
  <c r="H48" i="11"/>
  <c r="H47" i="11"/>
  <c r="H46" i="11"/>
  <c r="H45" i="11"/>
  <c r="H57" i="11"/>
  <c r="E39" i="12"/>
  <c r="I39" i="12" s="1"/>
  <c r="G55" i="11"/>
  <c r="G54" i="11"/>
  <c r="G53" i="11"/>
  <c r="G52" i="11"/>
  <c r="G51" i="11"/>
  <c r="G50" i="11"/>
  <c r="G49" i="11"/>
  <c r="G48" i="11"/>
  <c r="G47" i="11"/>
  <c r="G46" i="11"/>
  <c r="G45" i="11"/>
  <c r="G57" i="11"/>
  <c r="H36" i="11"/>
  <c r="H37" i="11"/>
  <c r="Z56" i="10"/>
  <c r="AI56" i="10"/>
  <c r="AN167" i="10"/>
  <c r="AO167" i="10" s="1"/>
  <c r="AN163" i="10"/>
  <c r="AO163" i="10" s="1"/>
  <c r="AN59" i="10"/>
  <c r="AO59" i="10" s="1"/>
  <c r="AN55" i="10"/>
  <c r="AO55" i="10" s="1"/>
  <c r="AW57" i="10"/>
  <c r="AW53" i="10"/>
  <c r="BA57" i="10"/>
  <c r="BA53" i="10"/>
  <c r="AN111" i="10"/>
  <c r="AO111" i="10" s="1"/>
  <c r="AN107" i="10"/>
  <c r="AO107" i="10" s="1"/>
  <c r="BB112" i="10"/>
  <c r="BB110" i="10"/>
  <c r="BB108" i="10"/>
  <c r="BB106" i="10"/>
  <c r="BB166" i="10"/>
  <c r="BB164" i="10"/>
  <c r="BB162" i="10"/>
  <c r="AS165" i="10"/>
  <c r="AS161" i="10"/>
  <c r="AW167" i="10"/>
  <c r="AW163" i="10"/>
  <c r="BA165" i="10"/>
  <c r="BA161" i="10"/>
  <c r="BA111" i="10"/>
  <c r="BA107" i="10"/>
  <c r="BA105" i="10"/>
  <c r="AW160" i="10"/>
  <c r="AW59" i="10"/>
  <c r="AW55" i="10"/>
  <c r="BB109" i="10"/>
  <c r="AS167" i="10"/>
  <c r="AS163" i="10"/>
  <c r="AW165" i="10"/>
  <c r="AW161" i="10"/>
  <c r="BA167" i="10"/>
  <c r="BA163" i="10"/>
  <c r="AO76" i="10"/>
  <c r="BE26" i="10"/>
  <c r="W16" i="10"/>
  <c r="AB16" i="10" s="1"/>
  <c r="W26" i="10"/>
  <c r="X26" i="10"/>
  <c r="W22" i="10"/>
  <c r="X22" i="10"/>
  <c r="W18" i="10"/>
  <c r="AB18" i="10" s="1"/>
  <c r="X18" i="10"/>
  <c r="W29" i="10"/>
  <c r="X29" i="10"/>
  <c r="W25" i="10"/>
  <c r="X25" i="10"/>
  <c r="W21" i="10"/>
  <c r="AB21" i="10" s="1"/>
  <c r="X21" i="10"/>
  <c r="W17" i="10"/>
  <c r="AB17" i="10" s="1"/>
  <c r="X17" i="10"/>
  <c r="W28" i="10"/>
  <c r="X28" i="10"/>
  <c r="W24" i="10"/>
  <c r="X24" i="10"/>
  <c r="W20" i="10"/>
  <c r="AB20" i="10" s="1"/>
  <c r="X20" i="10"/>
  <c r="W27" i="10"/>
  <c r="X27" i="10"/>
  <c r="W23" i="10"/>
  <c r="X23" i="10"/>
  <c r="W19" i="10"/>
  <c r="AB19" i="10" s="1"/>
  <c r="X19" i="10"/>
  <c r="H81" i="10"/>
  <c r="I81" i="10" s="1"/>
  <c r="AS24" i="10"/>
  <c r="BE22" i="10"/>
  <c r="AS26" i="10"/>
  <c r="AS18" i="10"/>
  <c r="BE18" i="10"/>
  <c r="AO80" i="10"/>
  <c r="AN135" i="10"/>
  <c r="AO135" i="10" s="1"/>
  <c r="AN131" i="10"/>
  <c r="AO131" i="10" s="1"/>
  <c r="AN127" i="10"/>
  <c r="AO127" i="10" s="1"/>
  <c r="AR27" i="10"/>
  <c r="AS27" i="10" s="1"/>
  <c r="AR25" i="10"/>
  <c r="AS25" i="10" s="1"/>
  <c r="AR23" i="10"/>
  <c r="AS23" i="10" s="1"/>
  <c r="AR21" i="10"/>
  <c r="AS21" i="10" s="1"/>
  <c r="AR19" i="10"/>
  <c r="AS19" i="10" s="1"/>
  <c r="AR17" i="10"/>
  <c r="AS17" i="10" s="1"/>
  <c r="AN28" i="10"/>
  <c r="AO28" i="10" s="1"/>
  <c r="AN24" i="10"/>
  <c r="AO24" i="10" s="1"/>
  <c r="AN20" i="10"/>
  <c r="AO20" i="10" s="1"/>
  <c r="AZ27" i="10"/>
  <c r="BA27" i="10" s="1"/>
  <c r="AZ23" i="10"/>
  <c r="BA23" i="10" s="1"/>
  <c r="AZ19" i="10"/>
  <c r="BA19" i="10" s="1"/>
  <c r="AW73" i="10"/>
  <c r="BA77" i="10"/>
  <c r="BA73" i="10"/>
  <c r="BE80" i="10"/>
  <c r="AW81" i="10"/>
  <c r="AW77" i="10"/>
  <c r="BA81" i="10"/>
  <c r="BE74" i="10"/>
  <c r="BA71" i="10"/>
  <c r="AS136" i="10"/>
  <c r="BA137" i="10"/>
  <c r="BA129" i="10"/>
  <c r="AW137" i="10"/>
  <c r="AW135" i="10"/>
  <c r="AO27" i="10"/>
  <c r="AO23" i="10"/>
  <c r="AO19" i="10"/>
  <c r="BA26" i="10"/>
  <c r="BA22" i="10"/>
  <c r="BA18" i="10"/>
  <c r="BE29" i="10"/>
  <c r="BE25" i="10"/>
  <c r="BE21" i="10"/>
  <c r="BE17" i="10"/>
  <c r="AO79" i="10"/>
  <c r="AO75" i="10"/>
  <c r="AO71" i="10"/>
  <c r="BB79" i="10"/>
  <c r="BB75" i="10"/>
  <c r="BB135" i="10"/>
  <c r="BB127" i="10"/>
  <c r="BB125" i="10"/>
  <c r="AW71" i="10"/>
  <c r="BE82" i="10"/>
  <c r="BE73" i="10"/>
  <c r="BE70" i="10"/>
  <c r="AW133" i="10"/>
  <c r="AW127" i="10"/>
  <c r="BE134" i="10"/>
  <c r="BE129" i="10"/>
  <c r="BE126" i="10"/>
  <c r="AS29" i="10"/>
  <c r="AX79" i="10"/>
  <c r="AX75" i="10"/>
  <c r="AX125" i="10"/>
  <c r="BE81" i="10"/>
  <c r="BE72" i="10"/>
  <c r="BA136" i="10"/>
  <c r="BA133" i="10"/>
  <c r="BA131" i="10"/>
  <c r="BE128" i="10"/>
  <c r="BE125" i="10"/>
  <c r="AZ16" i="10"/>
  <c r="BA16" i="10" s="1"/>
  <c r="AS16" i="10"/>
  <c r="AX69" i="10"/>
  <c r="BB69" i="10"/>
  <c r="BE69" i="10"/>
  <c r="BE16" i="10"/>
  <c r="AX16" i="10"/>
  <c r="BE124" i="10"/>
  <c r="BA82" i="10"/>
  <c r="AS80" i="10"/>
  <c r="BA80" i="10"/>
  <c r="AS134" i="10"/>
  <c r="AS154" i="10" s="1"/>
  <c r="BA134" i="10"/>
  <c r="BE133" i="10"/>
  <c r="AW131" i="10"/>
  <c r="AW74" i="10"/>
  <c r="AW129" i="10"/>
  <c r="AS20" i="10"/>
  <c r="BA128" i="10"/>
  <c r="BA72" i="10"/>
  <c r="AW126" i="10"/>
  <c r="BA126" i="10"/>
  <c r="AW70" i="10"/>
  <c r="BA70" i="10"/>
  <c r="BA124" i="10"/>
  <c r="AW124" i="10"/>
  <c r="F38" i="12"/>
  <c r="G39" i="12"/>
  <c r="AH58" i="10"/>
  <c r="AH77" i="10" s="1"/>
  <c r="G32" i="11"/>
  <c r="E55" i="12"/>
  <c r="I55" i="12" s="1"/>
  <c r="G33" i="12"/>
  <c r="E31" i="12"/>
  <c r="I31" i="12" s="1"/>
  <c r="T51" i="10" s="1"/>
  <c r="U141" i="10" s="1"/>
  <c r="G33" i="11"/>
  <c r="H50" i="12"/>
  <c r="H28" i="11"/>
  <c r="F30" i="12"/>
  <c r="H37" i="12"/>
  <c r="G29" i="12"/>
  <c r="H31" i="11"/>
  <c r="F36" i="11"/>
  <c r="G28" i="11"/>
  <c r="G34" i="12"/>
  <c r="E53" i="12"/>
  <c r="I53" i="12" s="1"/>
  <c r="G30" i="11"/>
  <c r="G56" i="12"/>
  <c r="AG46" i="10"/>
  <c r="AG76" i="10" s="1"/>
  <c r="G35" i="11"/>
  <c r="F34" i="11"/>
  <c r="G37" i="11"/>
  <c r="F40" i="12"/>
  <c r="H43" i="12"/>
  <c r="G44" i="12"/>
  <c r="E46" i="12"/>
  <c r="I46" i="12" s="1"/>
  <c r="H52" i="12"/>
  <c r="G53" i="12"/>
  <c r="H57" i="12"/>
  <c r="H28" i="12"/>
  <c r="E35" i="12"/>
  <c r="I35" i="12" s="1"/>
  <c r="T55" i="10" s="1"/>
  <c r="U145" i="10" s="1"/>
  <c r="AG58" i="10"/>
  <c r="AG77" i="10" s="1"/>
  <c r="H35" i="11"/>
  <c r="H33" i="11"/>
  <c r="H32" i="11"/>
  <c r="G38" i="11"/>
  <c r="G31" i="11"/>
  <c r="H41" i="12"/>
  <c r="G42" i="12"/>
  <c r="F51" i="12"/>
  <c r="F56" i="12"/>
  <c r="G35" i="12"/>
  <c r="E29" i="12"/>
  <c r="I29" i="12" s="1"/>
  <c r="T49" i="10" s="1"/>
  <c r="U139" i="10" s="1"/>
  <c r="F35" i="12"/>
  <c r="H55" i="12"/>
  <c r="T28" i="10"/>
  <c r="E30" i="11"/>
  <c r="I30" i="11" s="1"/>
  <c r="T18" i="10" s="1"/>
  <c r="E37" i="11"/>
  <c r="I37" i="11" s="1"/>
  <c r="E29" i="11"/>
  <c r="I29" i="11" s="1"/>
  <c r="E31" i="11"/>
  <c r="I31" i="11" s="1"/>
  <c r="E28" i="11"/>
  <c r="I28" i="11" s="1"/>
  <c r="U103" i="10" s="1"/>
  <c r="E32" i="11"/>
  <c r="I32" i="11" s="1"/>
  <c r="E36" i="11"/>
  <c r="E34" i="11"/>
  <c r="E33" i="11"/>
  <c r="I33" i="11" s="1"/>
  <c r="E38" i="11"/>
  <c r="I38" i="11" s="1"/>
  <c r="H38" i="11"/>
  <c r="H29" i="11"/>
  <c r="G29" i="11"/>
  <c r="E35" i="11"/>
  <c r="I35" i="11" s="1"/>
  <c r="F29" i="11"/>
  <c r="F31" i="11"/>
  <c r="F28" i="11"/>
  <c r="F32" i="11"/>
  <c r="F30" i="11"/>
  <c r="F37" i="11"/>
  <c r="F38" i="11"/>
  <c r="F33" i="11"/>
  <c r="E38" i="12"/>
  <c r="I38" i="12" s="1"/>
  <c r="E40" i="12"/>
  <c r="I40" i="12" s="1"/>
  <c r="F41" i="12"/>
  <c r="H42" i="12"/>
  <c r="F43" i="12"/>
  <c r="H44" i="12"/>
  <c r="E45" i="12"/>
  <c r="I45" i="12" s="1"/>
  <c r="G45" i="12"/>
  <c r="F46" i="12"/>
  <c r="E47" i="12"/>
  <c r="I47" i="12" s="1"/>
  <c r="G47" i="12"/>
  <c r="F48" i="12"/>
  <c r="H49" i="12"/>
  <c r="G50" i="12"/>
  <c r="H51" i="12"/>
  <c r="G52" i="12"/>
  <c r="E54" i="12"/>
  <c r="I54" i="12" s="1"/>
  <c r="E56" i="12"/>
  <c r="I56" i="12" s="1"/>
  <c r="F57" i="12"/>
  <c r="E28" i="12"/>
  <c r="I28" i="12" s="1"/>
  <c r="T48" i="10" s="1"/>
  <c r="U138" i="10" s="1"/>
  <c r="E37" i="12"/>
  <c r="I37" i="12" s="1"/>
  <c r="G37" i="12"/>
  <c r="H36" i="12"/>
  <c r="H35" i="12"/>
  <c r="F34" i="12"/>
  <c r="H33" i="12"/>
  <c r="H32" i="12"/>
  <c r="G31" i="12"/>
  <c r="G30" i="12"/>
  <c r="H29" i="12"/>
  <c r="H30" i="11"/>
  <c r="H38" i="12"/>
  <c r="F39" i="12"/>
  <c r="H40" i="12"/>
  <c r="E41" i="12"/>
  <c r="I41" i="12" s="1"/>
  <c r="G41" i="12"/>
  <c r="F42" i="12"/>
  <c r="E43" i="12"/>
  <c r="I43" i="12" s="1"/>
  <c r="G43" i="12"/>
  <c r="F44" i="12"/>
  <c r="H45" i="12"/>
  <c r="G46" i="12"/>
  <c r="H47" i="12"/>
  <c r="G48" i="12"/>
  <c r="E50" i="12"/>
  <c r="I50" i="12" s="1"/>
  <c r="E52" i="12"/>
  <c r="I52" i="12" s="1"/>
  <c r="F53" i="12"/>
  <c r="H54" i="12"/>
  <c r="F55" i="12"/>
  <c r="H56" i="12"/>
  <c r="E57" i="12"/>
  <c r="I57" i="12" s="1"/>
  <c r="G57" i="12"/>
  <c r="F28" i="12"/>
  <c r="F37" i="12"/>
  <c r="G36" i="12"/>
  <c r="H34" i="12"/>
  <c r="G32" i="12"/>
  <c r="F29" i="12"/>
  <c r="G38" i="12"/>
  <c r="H39" i="12"/>
  <c r="G40" i="12"/>
  <c r="E42" i="12"/>
  <c r="I42" i="12" s="1"/>
  <c r="E44" i="12"/>
  <c r="I44" i="12" s="1"/>
  <c r="F45" i="12"/>
  <c r="H46" i="12"/>
  <c r="F47" i="12"/>
  <c r="H48" i="12"/>
  <c r="E49" i="12"/>
  <c r="I49" i="12" s="1"/>
  <c r="G49" i="12"/>
  <c r="F50" i="12"/>
  <c r="E51" i="12"/>
  <c r="I51" i="12" s="1"/>
  <c r="G51" i="12"/>
  <c r="F52" i="12"/>
  <c r="H53" i="12"/>
  <c r="G54" i="12"/>
  <c r="G28" i="12"/>
  <c r="F36" i="12"/>
  <c r="E33" i="12"/>
  <c r="I33" i="12" s="1"/>
  <c r="T53" i="10" s="1"/>
  <c r="U143" i="10" s="1"/>
  <c r="H30" i="12"/>
  <c r="T29" i="10"/>
  <c r="T27" i="10"/>
  <c r="E34" i="12"/>
  <c r="I34" i="12" s="1"/>
  <c r="T54" i="10" s="1"/>
  <c r="U144" i="10" s="1"/>
  <c r="F33" i="12"/>
  <c r="E30" i="12"/>
  <c r="I30" i="12" s="1"/>
  <c r="T50" i="10" s="1"/>
  <c r="U140" i="10" s="1"/>
  <c r="E32" i="12"/>
  <c r="I32" i="12" s="1"/>
  <c r="T52" i="10" s="1"/>
  <c r="U142" i="10" s="1"/>
  <c r="F31" i="12"/>
  <c r="F32" i="12"/>
  <c r="H31" i="12"/>
  <c r="AS99" i="10" l="1"/>
  <c r="E89" i="10" s="1"/>
  <c r="F89" i="10" s="1"/>
  <c r="AH80" i="10"/>
  <c r="AH82" i="10" s="1"/>
  <c r="AW46" i="10"/>
  <c r="E81" i="10" s="1"/>
  <c r="AL19" i="10"/>
  <c r="AL72" i="10" s="1"/>
  <c r="C20" i="10"/>
  <c r="AS103" i="10"/>
  <c r="AW103" i="10" s="1"/>
  <c r="BA103" i="10" s="1"/>
  <c r="BE103" i="10" s="1"/>
  <c r="AO123" i="10"/>
  <c r="AL56" i="10"/>
  <c r="C53" i="10"/>
  <c r="AO154" i="10"/>
  <c r="Z54" i="10"/>
  <c r="AI54" i="10"/>
  <c r="AW62" i="10"/>
  <c r="K81" i="10" s="1"/>
  <c r="AW114" i="10"/>
  <c r="K90" i="10" s="1"/>
  <c r="L90" i="10" s="1"/>
  <c r="BA169" i="10"/>
  <c r="W88" i="10" s="1"/>
  <c r="X88" i="10" s="1"/>
  <c r="BE62" i="10"/>
  <c r="N80" i="10" s="1"/>
  <c r="BE169" i="10"/>
  <c r="W89" i="10" s="1"/>
  <c r="X89" i="10" s="1"/>
  <c r="Z53" i="10"/>
  <c r="AI53" i="10"/>
  <c r="Z52" i="10"/>
  <c r="AI52" i="10"/>
  <c r="AG80" i="10"/>
  <c r="AG82" i="10" s="1"/>
  <c r="AW169" i="10"/>
  <c r="T90" i="10" s="1"/>
  <c r="U90" i="10" s="1"/>
  <c r="AO114" i="10"/>
  <c r="K88" i="10" s="1"/>
  <c r="L88" i="10" s="1"/>
  <c r="AO169" i="10"/>
  <c r="T88" i="10" s="1"/>
  <c r="U88" i="10" s="1"/>
  <c r="BA62" i="10"/>
  <c r="AO62" i="10"/>
  <c r="T25" i="10"/>
  <c r="U112" i="10" s="1"/>
  <c r="I36" i="11"/>
  <c r="T24" i="10" s="1"/>
  <c r="U111" i="10" s="1"/>
  <c r="I34" i="11"/>
  <c r="T22" i="10" s="1"/>
  <c r="U109" i="10" s="1"/>
  <c r="BA114" i="10"/>
  <c r="AS169" i="10"/>
  <c r="T89" i="10" s="1"/>
  <c r="U89" i="10" s="1"/>
  <c r="BE46" i="10"/>
  <c r="Z55" i="10"/>
  <c r="AF71" i="10"/>
  <c r="T19" i="10"/>
  <c r="U106" i="10" s="1"/>
  <c r="T23" i="10"/>
  <c r="U110" i="10" s="1"/>
  <c r="U116" i="10"/>
  <c r="U115" i="10"/>
  <c r="U105" i="10"/>
  <c r="U114" i="10"/>
  <c r="AO99" i="10"/>
  <c r="E88" i="10" s="1"/>
  <c r="F88" i="10" s="1"/>
  <c r="Z16" i="10"/>
  <c r="Z17" i="10"/>
  <c r="Z25" i="10"/>
  <c r="AI25" i="10"/>
  <c r="Z18" i="10"/>
  <c r="Z26" i="10"/>
  <c r="AI26" i="10"/>
  <c r="Z23" i="10"/>
  <c r="AI23" i="10"/>
  <c r="Z20" i="10"/>
  <c r="Z28" i="10"/>
  <c r="Z21" i="10"/>
  <c r="Z29" i="10"/>
  <c r="Z22" i="10"/>
  <c r="AI22" i="10"/>
  <c r="Z19" i="10"/>
  <c r="Z27" i="10"/>
  <c r="Z24" i="10"/>
  <c r="AI24" i="10"/>
  <c r="AG63" i="10"/>
  <c r="G64" i="10" s="1"/>
  <c r="AG65" i="10" s="1"/>
  <c r="AG64" i="10" s="1"/>
  <c r="K64" i="10" s="1"/>
  <c r="L64" i="10" s="1"/>
  <c r="T20" i="10"/>
  <c r="BA99" i="10"/>
  <c r="T21" i="10"/>
  <c r="AW99" i="10"/>
  <c r="E90" i="10" s="1"/>
  <c r="F90" i="10" s="1"/>
  <c r="BE99" i="10"/>
  <c r="H89" i="10" s="1"/>
  <c r="I89" i="10" s="1"/>
  <c r="AW154" i="10"/>
  <c r="T81" i="10" s="1"/>
  <c r="U81" i="10" s="1"/>
  <c r="BE154" i="10"/>
  <c r="W80" i="10" s="1"/>
  <c r="X80" i="10" s="1"/>
  <c r="AS46" i="10"/>
  <c r="E80" i="10" s="1"/>
  <c r="AO46" i="10"/>
  <c r="BA154" i="10"/>
  <c r="W79" i="10" s="1"/>
  <c r="X79" i="10" s="1"/>
  <c r="BA46" i="10"/>
  <c r="K67" i="10"/>
  <c r="L67" i="10" s="1"/>
  <c r="T26" i="10"/>
  <c r="T17" i="10"/>
  <c r="AL57" i="10" l="1"/>
  <c r="C54" i="10"/>
  <c r="C21" i="10"/>
  <c r="AL20" i="10"/>
  <c r="AL73" i="10" s="1"/>
  <c r="AS123" i="10"/>
  <c r="AW123" i="10" s="1"/>
  <c r="BA123" i="10" s="1"/>
  <c r="BE123" i="10" s="1"/>
  <c r="AO158" i="10"/>
  <c r="AS158" i="10" s="1"/>
  <c r="AW158" i="10" s="1"/>
  <c r="BA158" i="10" s="1"/>
  <c r="BE158" i="10" s="1"/>
  <c r="N90" i="10"/>
  <c r="N88" i="10"/>
  <c r="O88" i="10" s="1"/>
  <c r="H80" i="10"/>
  <c r="I80" i="10" s="1"/>
  <c r="H90" i="10"/>
  <c r="I90" i="10" s="1"/>
  <c r="H88" i="10"/>
  <c r="I88" i="10" s="1"/>
  <c r="T79" i="10"/>
  <c r="U79" i="10" s="1"/>
  <c r="T80" i="10"/>
  <c r="U80" i="10" s="1"/>
  <c r="E79" i="10"/>
  <c r="F79" i="10" s="1"/>
  <c r="F80" i="10"/>
  <c r="H79" i="10"/>
  <c r="I79" i="10" s="1"/>
  <c r="F81" i="10"/>
  <c r="L80" i="10"/>
  <c r="K79" i="10"/>
  <c r="L79" i="10" s="1"/>
  <c r="N79" i="10"/>
  <c r="O79" i="10" s="1"/>
  <c r="O80" i="10"/>
  <c r="N81" i="10"/>
  <c r="O81" i="10" s="1"/>
  <c r="AF73" i="10"/>
  <c r="AF70" i="10"/>
  <c r="AF74" i="10"/>
  <c r="AF58" i="10"/>
  <c r="U113" i="10"/>
  <c r="U107" i="10"/>
  <c r="U108" i="10"/>
  <c r="U104" i="10"/>
  <c r="AF46" i="10"/>
  <c r="AC24" i="10"/>
  <c r="AH64" i="10"/>
  <c r="AH63" i="10"/>
  <c r="H64" i="10"/>
  <c r="G67" i="10"/>
  <c r="C22" i="10" l="1"/>
  <c r="AL21" i="10"/>
  <c r="AL74" i="10" s="1"/>
  <c r="AL58" i="10"/>
  <c r="C55" i="10"/>
  <c r="L81" i="10"/>
  <c r="AF76" i="10"/>
  <c r="AF77" i="10"/>
  <c r="AF63" i="10"/>
  <c r="G61" i="10" s="1"/>
  <c r="H67" i="10"/>
  <c r="AH65" i="10"/>
  <c r="AL59" i="10" l="1"/>
  <c r="C56" i="10"/>
  <c r="AL22" i="10"/>
  <c r="AL75" i="10" s="1"/>
  <c r="C23" i="10"/>
  <c r="AF80" i="10"/>
  <c r="AF82" i="10" s="1"/>
  <c r="H61" i="10"/>
  <c r="AF65" i="10"/>
  <c r="AF64" i="10" s="1"/>
  <c r="K61" i="10" s="1"/>
  <c r="L61" i="10" s="1"/>
  <c r="AL23" i="10" l="1"/>
  <c r="AL76" i="10" s="1"/>
  <c r="C24" i="10"/>
  <c r="AL60" i="10"/>
  <c r="C57" i="10"/>
  <c r="AL61" i="10" s="1"/>
  <c r="C25" i="10" l="1"/>
  <c r="AL24" i="10"/>
  <c r="AL77" i="10" s="1"/>
  <c r="AL25" i="10" l="1"/>
  <c r="AL78" i="10" s="1"/>
  <c r="C26" i="10"/>
  <c r="C27" i="10" l="1"/>
  <c r="AL26" i="10"/>
  <c r="AL79" i="10" s="1"/>
  <c r="C28" i="10" l="1"/>
  <c r="AL27" i="10"/>
  <c r="AL80" i="10" s="1"/>
  <c r="AL28" i="10" l="1"/>
  <c r="AL81" i="10" s="1"/>
  <c r="C29" i="10"/>
  <c r="C30" i="10" l="1"/>
  <c r="AL29" i="10"/>
  <c r="AL82" i="10" s="1"/>
  <c r="AL30" i="10" l="1"/>
  <c r="AL83" i="10" s="1"/>
  <c r="C31" i="10"/>
  <c r="C32" i="10" l="1"/>
  <c r="AL31" i="10"/>
  <c r="AL84" i="10" s="1"/>
  <c r="AL32" i="10" l="1"/>
  <c r="AL85" i="10" s="1"/>
  <c r="C33" i="10"/>
  <c r="C34" i="10" l="1"/>
  <c r="AL33" i="10"/>
  <c r="AL86" i="10" s="1"/>
  <c r="AL34" i="10" l="1"/>
  <c r="AL87" i="10" s="1"/>
  <c r="C35" i="10"/>
  <c r="C36" i="10" l="1"/>
  <c r="AL35" i="10"/>
  <c r="AL88" i="10" s="1"/>
  <c r="AL36" i="10" l="1"/>
  <c r="AL89" i="10" s="1"/>
  <c r="C37" i="10"/>
  <c r="C38" i="10" l="1"/>
  <c r="AL37" i="10"/>
  <c r="AL90" i="10" s="1"/>
  <c r="AL38" i="10" l="1"/>
  <c r="AL91" i="10" s="1"/>
  <c r="C39" i="10"/>
  <c r="C40" i="10" l="1"/>
  <c r="AL39" i="10"/>
  <c r="AL92" i="10" s="1"/>
  <c r="AL40" i="10" l="1"/>
  <c r="AL93" i="10" s="1"/>
  <c r="C41" i="10"/>
  <c r="C42" i="10" l="1"/>
  <c r="AL41" i="10"/>
  <c r="AL94" i="10" s="1"/>
  <c r="C43" i="10" l="1"/>
  <c r="AL42" i="10"/>
  <c r="AL95" i="10" s="1"/>
  <c r="C44" i="10" l="1"/>
  <c r="AL43" i="10"/>
  <c r="AL96" i="10" s="1"/>
  <c r="AL44" i="10" l="1"/>
  <c r="AL97" i="10" s="1"/>
  <c r="C45" i="10"/>
  <c r="AL45" i="10" s="1"/>
  <c r="AL98" i="10" s="1"/>
</calcChain>
</file>

<file path=xl/sharedStrings.xml><?xml version="1.0" encoding="utf-8"?>
<sst xmlns="http://schemas.openxmlformats.org/spreadsheetml/2006/main" count="483" uniqueCount="192">
  <si>
    <t>Test No.</t>
  </si>
  <si>
    <t>Location</t>
  </si>
  <si>
    <t>Specified Relative Compaction (min. %)</t>
  </si>
  <si>
    <t>OG = Original Grade</t>
  </si>
  <si>
    <t>Project Name:</t>
  </si>
  <si>
    <t>Relative Compaction        (%)</t>
  </si>
  <si>
    <t>RG= Rough Grade</t>
  </si>
  <si>
    <t>TP = Top of Pipe</t>
  </si>
  <si>
    <t>SG= Subgrade</t>
  </si>
  <si>
    <t>FG= Finish Grade</t>
  </si>
  <si>
    <t>FTG= Footing Grade</t>
  </si>
  <si>
    <t>Bid Item</t>
  </si>
  <si>
    <t xml:space="preserve">Date of report: </t>
  </si>
  <si>
    <t xml:space="preserve">Bid Number: </t>
  </si>
  <si>
    <t>Project location:</t>
  </si>
  <si>
    <t>ndf</t>
  </si>
  <si>
    <t>ddf</t>
  </si>
  <si>
    <t>α=0.05</t>
  </si>
  <si>
    <t>ln</t>
  </si>
  <si>
    <t>f</t>
  </si>
  <si>
    <t>F-test</t>
  </si>
  <si>
    <t>QA Inspector / Technician Name</t>
  </si>
  <si>
    <t>count</t>
  </si>
  <si>
    <t>probability 2 tail 0.05</t>
  </si>
  <si>
    <t>Significance α=0.05</t>
  </si>
  <si>
    <t>Page 2 of 2</t>
  </si>
  <si>
    <t>depth</t>
  </si>
  <si>
    <t>PCF</t>
  </si>
  <si>
    <t>Date</t>
  </si>
  <si>
    <t>date</t>
  </si>
  <si>
    <t>QC Technician:</t>
  </si>
  <si>
    <t>QA Technician:</t>
  </si>
  <si>
    <t>702-455-7481 fax 702-739-1558</t>
  </si>
  <si>
    <t>(Soils/Base and Asphalt)</t>
  </si>
  <si>
    <t>Soils/Base</t>
  </si>
  <si>
    <t>Asphalt</t>
  </si>
  <si>
    <t>Remarks:</t>
  </si>
  <si>
    <t>Includes failed tests</t>
  </si>
  <si>
    <t>Page 1 of 2</t>
  </si>
  <si>
    <t>T-test</t>
  </si>
  <si>
    <t>Compare QA and QC Average</t>
  </si>
  <si>
    <t>Pass/Fail</t>
  </si>
  <si>
    <t>Variability between QA and QC</t>
  </si>
  <si>
    <t>Accumulate multiple days in sequential order</t>
  </si>
  <si>
    <t>QC and QA tests are to be in the same date period for this sheet.</t>
  </si>
  <si>
    <t>Proctor (pcf)</t>
  </si>
  <si>
    <t>Rice (pcf)</t>
  </si>
  <si>
    <t>Moisture %</t>
  </si>
  <si>
    <t>90 % Compaction</t>
  </si>
  <si>
    <t>95% Compaction</t>
  </si>
  <si>
    <t>Number</t>
  </si>
  <si>
    <t>4"</t>
  </si>
  <si>
    <t>6"</t>
  </si>
  <si>
    <t>8"</t>
  </si>
  <si>
    <t>10"</t>
  </si>
  <si>
    <t>12"</t>
  </si>
  <si>
    <t>Probe depth</t>
  </si>
  <si>
    <t>RSQ</t>
  </si>
  <si>
    <t>Result</t>
  </si>
  <si>
    <t>N/A = no data or less than 4 data points</t>
  </si>
  <si>
    <t>Check One (X)</t>
  </si>
  <si>
    <t xml:space="preserve">Initial </t>
  </si>
  <si>
    <t>CCPW QA - V200</t>
  </si>
  <si>
    <t>SHEET CONTAINS ACTIVE FORMULAS</t>
  </si>
  <si>
    <t>Grade (see below)</t>
  </si>
  <si>
    <t>Proct-rice</t>
  </si>
  <si>
    <t>QC</t>
  </si>
  <si>
    <t>QC Proctor or Rice 2</t>
  </si>
  <si>
    <t>number</t>
  </si>
  <si>
    <t>QC Proctor or Rice 1</t>
  </si>
  <si>
    <t>QA Proctor or Rice 2</t>
  </si>
  <si>
    <t>QC Proctor or Rice 3</t>
  </si>
  <si>
    <t>QA Proctor or Rice 1</t>
  </si>
  <si>
    <t>QA Proctor or Rice 3</t>
  </si>
  <si>
    <t xml:space="preserve">#1 QC 4" </t>
  </si>
  <si>
    <t>#1 QC 6"</t>
  </si>
  <si>
    <t>#1 QC 8"</t>
  </si>
  <si>
    <t>#1 QC 10"</t>
  </si>
  <si>
    <t>#1 QC 12"</t>
  </si>
  <si>
    <t>#1 QA 4"</t>
  </si>
  <si>
    <t>#1 QA 6"</t>
  </si>
  <si>
    <t>#1 QA 8"</t>
  </si>
  <si>
    <t>#1 QA 10"</t>
  </si>
  <si>
    <t>#1 QA 12"</t>
  </si>
  <si>
    <t>#2 QC 4"</t>
  </si>
  <si>
    <t>#2 QC 6"</t>
  </si>
  <si>
    <t>#2 QC 8"</t>
  </si>
  <si>
    <t>#2 QC 10"</t>
  </si>
  <si>
    <t>#2 QC 12"</t>
  </si>
  <si>
    <t>#2 QA 4"</t>
  </si>
  <si>
    <t>#2 QA 6"</t>
  </si>
  <si>
    <t>#2 QA 8"</t>
  </si>
  <si>
    <t>#2 QA 12"</t>
  </si>
  <si>
    <t>#2 QA 10"</t>
  </si>
  <si>
    <t>#3 QC 4"</t>
  </si>
  <si>
    <t>#3 QC 6"</t>
  </si>
  <si>
    <t>#3 QC 8"</t>
  </si>
  <si>
    <t>#3 QC 10"</t>
  </si>
  <si>
    <t>#3 QC 12"</t>
  </si>
  <si>
    <t>#3 QA 4"</t>
  </si>
  <si>
    <t>#3 QA 6"</t>
  </si>
  <si>
    <t>#3 QA 8"</t>
  </si>
  <si>
    <t>#3 QA 10"</t>
  </si>
  <si>
    <t>#3 QA 12"</t>
  </si>
  <si>
    <t/>
  </si>
  <si>
    <t xml:space="preserve">Used only for Validation. Data transposed from field test records or summary sheets. </t>
  </si>
  <si>
    <t>count ratio</t>
  </si>
  <si>
    <t>Standard Counts QC</t>
  </si>
  <si>
    <t>Standard Counts QA</t>
  </si>
  <si>
    <t>ALL DATA</t>
  </si>
  <si>
    <t>=</t>
  </si>
  <si>
    <t>pcf</t>
  </si>
  <si>
    <t>for GES entry</t>
  </si>
  <si>
    <t>F-test validation</t>
  </si>
  <si>
    <t>T-test validation</t>
  </si>
  <si>
    <t>mode</t>
  </si>
  <si>
    <t>proctor</t>
  </si>
  <si>
    <t xml:space="preserve">proc/rice </t>
  </si>
  <si>
    <t>type</t>
  </si>
  <si>
    <t>EMB=Embankment</t>
  </si>
  <si>
    <t>D= dam</t>
  </si>
  <si>
    <t>Elevation</t>
  </si>
  <si>
    <t>Thick</t>
  </si>
  <si>
    <t>Max 3 days per sheet (in order to obtain mimum 3 QA to QC)</t>
  </si>
  <si>
    <t>Technician certification and other information is on the daily testing sheets</t>
  </si>
  <si>
    <t xml:space="preserve">Guage Calculations based on manufacturer's software equations </t>
  </si>
  <si>
    <t>Thickness</t>
  </si>
  <si>
    <t>K1</t>
  </si>
  <si>
    <t>K2</t>
  </si>
  <si>
    <t>Dg1</t>
  </si>
  <si>
    <t>Dg2</t>
  </si>
  <si>
    <t>DT</t>
  </si>
  <si>
    <t>Calculated Density (PCF)</t>
  </si>
  <si>
    <t>Reported Density (PCF)</t>
  </si>
  <si>
    <t>S/N</t>
  </si>
  <si>
    <t>A1</t>
  </si>
  <si>
    <t>B1</t>
  </si>
  <si>
    <t>C1</t>
  </si>
  <si>
    <t>a11</t>
  </si>
  <si>
    <t>a12</t>
  </si>
  <si>
    <t>a13</t>
  </si>
  <si>
    <t>A2</t>
  </si>
  <si>
    <t>B2</t>
  </si>
  <si>
    <t>C2</t>
  </si>
  <si>
    <t>a21</t>
  </si>
  <si>
    <t>a22</t>
  </si>
  <si>
    <t>a23</t>
  </si>
  <si>
    <t>Input Gauge Counts</t>
  </si>
  <si>
    <t>Std1</t>
  </si>
  <si>
    <t>std2</t>
  </si>
  <si>
    <t>Reported Gauge Counts</t>
  </si>
  <si>
    <t>Test Number</t>
  </si>
  <si>
    <t>System 1</t>
  </si>
  <si>
    <t>System 2</t>
  </si>
  <si>
    <t>QC Gauge</t>
  </si>
  <si>
    <t>Gauge Number</t>
  </si>
  <si>
    <t>N/A = no data or less than 3 data points</t>
  </si>
  <si>
    <t>4" calc</t>
  </si>
  <si>
    <t>QA</t>
  </si>
  <si>
    <t xml:space="preserve">Person input: </t>
  </si>
  <si>
    <t>x</t>
  </si>
  <si>
    <t>QC mean</t>
  </si>
  <si>
    <t xml:space="preserve">QA mean </t>
  </si>
  <si>
    <t>QC SE</t>
  </si>
  <si>
    <t>QC SD</t>
  </si>
  <si>
    <t>QA SD</t>
  </si>
  <si>
    <t>QA SE</t>
  </si>
  <si>
    <t>SE pooled</t>
  </si>
  <si>
    <t>Proctor or rice</t>
  </si>
  <si>
    <t>t-test</t>
  </si>
  <si>
    <t>T-test =</t>
  </si>
  <si>
    <t>F-test =</t>
  </si>
  <si>
    <t>RW 110, STA 10+00</t>
  </si>
  <si>
    <t>FG</t>
  </si>
  <si>
    <t>RW 110, STA 10+60</t>
  </si>
  <si>
    <t>RW 110, STA 10+05</t>
  </si>
  <si>
    <t>RW 110, STA 10+25</t>
  </si>
  <si>
    <t>RW 110, STA 10+65</t>
  </si>
  <si>
    <t>RW 110, STA 11+00</t>
  </si>
  <si>
    <t>RW 110, STA 10+40</t>
  </si>
  <si>
    <t>RW 110, STA 2+12</t>
  </si>
  <si>
    <t>RW 110, STA 1+90</t>
  </si>
  <si>
    <t>Check  if sheet is Activated</t>
  </si>
  <si>
    <t>Clark County Department of Public Works Construction Management Division Quality Assurance Section 7361 W. Charleston Ste 130, Las Vegas, NV 89117  702-455-7481 fax 702-739-1558</t>
  </si>
  <si>
    <t>Clark County Department of Public Works Construction Management Division                Quality Assurance Section                                              7361 W. Charleston Ste 130,                               Las Vegas, NV 89117                                           702-455-7481 fax 702-739-1558</t>
  </si>
  <si>
    <t>TYPE for test formula</t>
  </si>
  <si>
    <t xml:space="preserve">AAPT Format, only one non-compliance is that the table and figure tiels are to be left aligned. 
Why was ignition oven used in lieu of chemical extraction?
For graphs, use dashed type lines for ease of discerning on black and white
Do not use full title of test method after the method number.
Please explain "half-power-band"
This method is good for a pure difference between binder grade however in the real world, if the desire is to verify the construction, it will be an issue due to varying air voids. Thus, need to state that this is for design only to see what is the property of the RAP binder. Not for QC.
The use of wave frequency as stated is not new for materials, but new for asphalt concrete. There are also contact or non-contact transducers that can provide data in lieu of impact as was presented in AAPT 2007.
great job </t>
  </si>
  <si>
    <t>HMA Gauge Calibration Data</t>
  </si>
  <si>
    <t>QA Gauge</t>
  </si>
  <si>
    <t>The following tables represent a verification that the nuclear gauge data is not corrupt by checking for the correlation of the density counts to the recorded wet density.</t>
  </si>
  <si>
    <t>QA/QC NUCLEAR FIELD DENSITY VERIFICATION</t>
  </si>
  <si>
    <t>rev 8/16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</si>
</sst>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
    <numFmt numFmtId="166" formatCode="0.000"/>
    <numFmt numFmtId="167" formatCode="m/d/yy;@"/>
    <numFmt numFmtId="168" formatCode="0.00000"/>
    <numFmt numFmtId="169" formatCode="0.0000"/>
    <numFmt numFmtId="170" formatCode="[$-409]d\-mmm\-yy;@"/>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b/>
      <sz val="12"/>
      <name val="Arial"/>
      <family val="2"/>
    </font>
    <font>
      <sz val="10"/>
      <name val="Arial"/>
      <family val="2"/>
    </font>
    <font>
      <sz val="12"/>
      <name val="Arial"/>
      <family val="2"/>
    </font>
    <font>
      <b/>
      <sz val="14"/>
      <name val="Arial"/>
      <family val="2"/>
    </font>
    <font>
      <b/>
      <sz val="11"/>
      <name val="Arial"/>
      <family val="2"/>
    </font>
    <font>
      <b/>
      <sz val="16"/>
      <name val="Arial"/>
      <family val="2"/>
    </font>
    <font>
      <b/>
      <sz val="9"/>
      <name val="Arial"/>
      <family val="2"/>
    </font>
    <font>
      <sz val="14"/>
      <name val="Arial"/>
      <family val="2"/>
    </font>
    <font>
      <sz val="14"/>
      <name val="Arial"/>
      <family val="2"/>
    </font>
    <font>
      <i/>
      <sz val="14"/>
      <name val="Arial"/>
      <family val="2"/>
    </font>
    <font>
      <sz val="14"/>
      <color indexed="53"/>
      <name val="Arial"/>
      <family val="2"/>
    </font>
    <font>
      <sz val="14"/>
      <color indexed="49"/>
      <name val="Arial"/>
      <family val="2"/>
    </font>
    <font>
      <sz val="14"/>
      <color indexed="53"/>
      <name val="Arial"/>
      <family val="2"/>
    </font>
    <font>
      <sz val="14"/>
      <color indexed="52"/>
      <name val="Arial"/>
      <family val="2"/>
    </font>
    <font>
      <sz val="14"/>
      <color indexed="49"/>
      <name val="Arial"/>
      <family val="2"/>
    </font>
    <font>
      <sz val="11"/>
      <name val="Arial"/>
      <family val="2"/>
    </font>
    <font>
      <sz val="9"/>
      <name val="Arial"/>
      <family val="2"/>
    </font>
    <font>
      <b/>
      <sz val="11"/>
      <name val="Arial"/>
      <family val="2"/>
    </font>
    <font>
      <b/>
      <sz val="18"/>
      <name val="Arial"/>
      <family val="2"/>
    </font>
    <font>
      <sz val="18"/>
      <name val="Arial"/>
      <family val="2"/>
    </font>
    <font>
      <b/>
      <sz val="12"/>
      <name val="Arial"/>
      <family val="2"/>
    </font>
    <font>
      <sz val="16"/>
      <name val="Arial"/>
      <family val="2"/>
    </font>
    <font>
      <b/>
      <sz val="20"/>
      <name val="Arial"/>
      <family val="2"/>
    </font>
    <font>
      <b/>
      <sz val="16"/>
      <color indexed="10"/>
      <name val="Arial"/>
      <family val="2"/>
    </font>
    <font>
      <b/>
      <sz val="14"/>
      <name val="Arial"/>
      <family val="2"/>
    </font>
    <font>
      <b/>
      <sz val="14"/>
      <color rgb="FFFF0000"/>
      <name val="Arial"/>
      <family val="2"/>
    </font>
    <font>
      <sz val="14"/>
      <color rgb="FFFF0000"/>
      <name val="Arial"/>
      <family val="2"/>
    </font>
    <font>
      <b/>
      <sz val="22"/>
      <name val="Arial"/>
      <family val="2"/>
    </font>
    <font>
      <u/>
      <sz val="10"/>
      <color theme="10"/>
      <name val="Arial"/>
      <family val="2"/>
    </font>
    <font>
      <u/>
      <sz val="10"/>
      <color theme="11"/>
      <name val="Arial"/>
      <family val="2"/>
    </font>
    <font>
      <b/>
      <i/>
      <sz val="10"/>
      <color theme="1"/>
      <name val="Arial"/>
      <family val="2"/>
    </font>
    <font>
      <b/>
      <sz val="10"/>
      <color theme="0"/>
      <name val="Arial"/>
      <family val="2"/>
    </font>
    <font>
      <b/>
      <sz val="14"/>
      <color theme="1"/>
      <name val="Arial"/>
      <family val="2"/>
    </font>
    <font>
      <b/>
      <sz val="28"/>
      <color rgb="FFFF0000"/>
      <name val="Arial"/>
      <family val="2"/>
    </font>
    <font>
      <b/>
      <sz val="22"/>
      <color rgb="FFFF0000"/>
      <name val="Arial"/>
      <family val="2"/>
    </font>
    <font>
      <b/>
      <sz val="18"/>
      <color rgb="FFFF0000"/>
      <name val="Arial"/>
      <family val="2"/>
    </font>
    <font>
      <sz val="28"/>
      <color rgb="FFFF0000"/>
      <name val="Arial"/>
      <family val="2"/>
    </font>
    <font>
      <sz val="48"/>
      <color rgb="FFFF0000"/>
      <name val="Arial"/>
      <family val="2"/>
    </font>
    <font>
      <sz val="24"/>
      <color rgb="FFFF0000"/>
      <name val="Arial"/>
      <family val="2"/>
    </font>
    <font>
      <sz val="18"/>
      <color rgb="FFFF0000"/>
      <name val="Arial"/>
      <family val="2"/>
    </font>
  </fonts>
  <fills count="1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42"/>
        <bgColor indexed="64"/>
      </patternFill>
    </fill>
    <fill>
      <patternFill patternType="solid">
        <fgColor theme="8" tint="0.79998168889431442"/>
        <bgColor indexed="64"/>
      </patternFill>
    </fill>
    <fill>
      <patternFill patternType="solid">
        <fgColor theme="8" tint="0.79998168889431442"/>
        <bgColor indexed="8"/>
      </patternFill>
    </fill>
    <fill>
      <patternFill patternType="solid">
        <fgColor indexed="65"/>
        <bgColor rgb="FF000000"/>
      </patternFill>
    </fill>
    <fill>
      <patternFill patternType="solid">
        <fgColor theme="0"/>
        <bgColor indexed="64"/>
      </patternFill>
    </fill>
    <fill>
      <patternFill patternType="solid">
        <fgColor indexed="13"/>
        <bgColor indexed="64"/>
      </patternFill>
    </fill>
    <fill>
      <patternFill patternType="solid">
        <fgColor rgb="FFFFC000"/>
        <bgColor indexed="64"/>
      </patternFill>
    </fill>
    <fill>
      <patternFill patternType="solid">
        <fgColor rgb="FF92D050"/>
        <bgColor indexed="64"/>
      </patternFill>
    </fill>
    <fill>
      <patternFill patternType="solid">
        <fgColor rgb="FF7030A0"/>
        <bgColor indexed="64"/>
      </patternFill>
    </fill>
    <fill>
      <patternFill patternType="solid">
        <fgColor theme="0" tint="-4.9989318521683403E-2"/>
        <bgColor indexed="64"/>
      </patternFill>
    </fill>
  </fills>
  <borders count="108">
    <border>
      <left/>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thick">
        <color auto="1"/>
      </bottom>
      <diagonal/>
    </border>
    <border>
      <left style="thin">
        <color auto="1"/>
      </left>
      <right style="thick">
        <color auto="1"/>
      </right>
      <top/>
      <bottom style="thin">
        <color auto="1"/>
      </bottom>
      <diagonal/>
    </border>
    <border>
      <left/>
      <right style="thick">
        <color auto="1"/>
      </right>
      <top style="thick">
        <color auto="1"/>
      </top>
      <bottom/>
      <diagonal/>
    </border>
    <border>
      <left/>
      <right style="thick">
        <color auto="1"/>
      </right>
      <top/>
      <bottom/>
      <diagonal/>
    </border>
    <border>
      <left style="double">
        <color auto="1"/>
      </left>
      <right/>
      <top style="thin">
        <color auto="1"/>
      </top>
      <bottom style="thin">
        <color auto="1"/>
      </bottom>
      <diagonal/>
    </border>
    <border>
      <left style="thick">
        <color auto="1"/>
      </left>
      <right/>
      <top/>
      <bottom style="thick">
        <color auto="1"/>
      </bottom>
      <diagonal/>
    </border>
    <border>
      <left/>
      <right style="thick">
        <color auto="1"/>
      </right>
      <top/>
      <bottom style="thick">
        <color auto="1"/>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style="thin">
        <color auto="1"/>
      </left>
      <right/>
      <top style="medium">
        <color auto="1"/>
      </top>
      <bottom/>
      <diagonal/>
    </border>
    <border>
      <left style="thick">
        <color auto="1"/>
      </left>
      <right/>
      <top/>
      <bottom style="medium">
        <color auto="1"/>
      </bottom>
      <diagonal/>
    </border>
    <border>
      <left/>
      <right style="thick">
        <color auto="1"/>
      </right>
      <top/>
      <bottom style="medium">
        <color auto="1"/>
      </bottom>
      <diagonal/>
    </border>
    <border>
      <left style="thin">
        <color auto="1"/>
      </left>
      <right style="thin">
        <color auto="1"/>
      </right>
      <top/>
      <bottom style="thin">
        <color auto="1"/>
      </bottom>
      <diagonal/>
    </border>
    <border>
      <left style="thin">
        <color auto="1"/>
      </left>
      <right style="thick">
        <color auto="1"/>
      </right>
      <top style="thin">
        <color auto="1"/>
      </top>
      <bottom style="thin">
        <color auto="1"/>
      </bottom>
      <diagonal/>
    </border>
    <border>
      <left style="double">
        <color auto="1"/>
      </left>
      <right style="double">
        <color auto="1"/>
      </right>
      <top style="double">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double">
        <color auto="1"/>
      </bottom>
      <diagonal/>
    </border>
    <border>
      <left style="thick">
        <color auto="1"/>
      </left>
      <right style="thin">
        <color auto="1"/>
      </right>
      <top style="thin">
        <color auto="1"/>
      </top>
      <bottom style="thin">
        <color auto="1"/>
      </bottom>
      <diagonal/>
    </border>
    <border>
      <left/>
      <right/>
      <top/>
      <bottom style="thin">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top style="medium">
        <color auto="1"/>
      </top>
      <bottom style="thin">
        <color auto="1"/>
      </bottom>
      <diagonal/>
    </border>
    <border>
      <left/>
      <right/>
      <top style="thick">
        <color auto="1"/>
      </top>
      <bottom style="thin">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thin">
        <color auto="1"/>
      </top>
      <bottom style="thin">
        <color auto="1"/>
      </bottom>
      <diagonal/>
    </border>
    <border>
      <left/>
      <right/>
      <top style="thin">
        <color auto="1"/>
      </top>
      <bottom style="thick">
        <color auto="1"/>
      </bottom>
      <diagonal/>
    </border>
    <border>
      <left/>
      <right style="double">
        <color auto="1"/>
      </right>
      <top style="double">
        <color auto="1"/>
      </top>
      <bottom style="thin">
        <color auto="1"/>
      </bottom>
      <diagonal/>
    </border>
    <border>
      <left style="thin">
        <color auto="1"/>
      </left>
      <right/>
      <top/>
      <bottom style="thick">
        <color auto="1"/>
      </bottom>
      <diagonal/>
    </border>
    <border>
      <left style="double">
        <color auto="1"/>
      </left>
      <right style="double">
        <color auto="1"/>
      </right>
      <top/>
      <bottom style="double">
        <color auto="1"/>
      </bottom>
      <diagonal/>
    </border>
    <border>
      <left style="double">
        <color auto="1"/>
      </left>
      <right/>
      <top/>
      <bottom/>
      <diagonal/>
    </border>
    <border>
      <left style="thin">
        <color auto="1"/>
      </left>
      <right/>
      <top/>
      <bottom/>
      <diagonal/>
    </border>
    <border>
      <left/>
      <right style="double">
        <color auto="1"/>
      </right>
      <top/>
      <bottom/>
      <diagonal/>
    </border>
    <border>
      <left style="thin">
        <color auto="1"/>
      </left>
      <right/>
      <top style="double">
        <color auto="1"/>
      </top>
      <bottom style="thin">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style="thin">
        <color auto="1"/>
      </left>
      <right/>
      <top style="thin">
        <color auto="1"/>
      </top>
      <bottom style="double">
        <color auto="1"/>
      </bottom>
      <diagonal/>
    </border>
    <border>
      <left/>
      <right style="double">
        <color auto="1"/>
      </right>
      <top style="thin">
        <color auto="1"/>
      </top>
      <bottom style="double">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bottom style="thin">
        <color auto="1"/>
      </bottom>
      <diagonal/>
    </border>
    <border>
      <left style="thick">
        <color auto="1"/>
      </left>
      <right/>
      <top/>
      <bottom style="thin">
        <color auto="1"/>
      </bottom>
      <diagonal/>
    </border>
    <border>
      <left style="thick">
        <color auto="1"/>
      </left>
      <right style="thick">
        <color auto="1"/>
      </right>
      <top style="thin">
        <color auto="1"/>
      </top>
      <bottom style="thin">
        <color auto="1"/>
      </bottom>
      <diagonal/>
    </border>
    <border>
      <left style="thick">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style="thin">
        <color auto="1"/>
      </right>
      <top/>
      <bottom/>
      <diagonal/>
    </border>
    <border>
      <left style="double">
        <color auto="1"/>
      </left>
      <right style="double">
        <color auto="1"/>
      </right>
      <top style="thin">
        <color auto="1"/>
      </top>
      <bottom/>
      <diagonal/>
    </border>
    <border>
      <left/>
      <right style="thick">
        <color auto="1"/>
      </right>
      <top style="medium">
        <color auto="1"/>
      </top>
      <bottom/>
      <diagonal/>
    </border>
    <border>
      <left style="medium">
        <color auto="1"/>
      </left>
      <right/>
      <top/>
      <bottom/>
      <diagonal/>
    </border>
    <border>
      <left/>
      <right style="thick">
        <color auto="1"/>
      </right>
      <top style="medium">
        <color auto="1"/>
      </top>
      <bottom style="medium">
        <color auto="1"/>
      </bottom>
      <diagonal/>
    </border>
    <border>
      <left/>
      <right style="medium">
        <color indexed="64"/>
      </right>
      <top/>
      <bottom style="medium">
        <color auto="1"/>
      </bottom>
      <diagonal/>
    </border>
    <border>
      <left/>
      <right style="thick">
        <color auto="1"/>
      </right>
      <top style="thin">
        <color auto="1"/>
      </top>
      <bottom style="thin">
        <color auto="1"/>
      </bottom>
      <diagonal/>
    </border>
    <border>
      <left style="thin">
        <color auto="1"/>
      </left>
      <right style="thin">
        <color auto="1"/>
      </right>
      <top style="thin">
        <color auto="1"/>
      </top>
      <bottom style="double">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double">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ashed">
        <color auto="1"/>
      </left>
      <right style="dashed">
        <color auto="1"/>
      </right>
      <top style="dashed">
        <color auto="1"/>
      </top>
      <bottom style="dashed">
        <color auto="1"/>
      </bottom>
      <diagonal/>
    </border>
    <border>
      <left style="thick">
        <color auto="1"/>
      </left>
      <right style="dashed">
        <color auto="1"/>
      </right>
      <top style="dashed">
        <color auto="1"/>
      </top>
      <bottom style="dashed">
        <color auto="1"/>
      </bottom>
      <diagonal/>
    </border>
    <border>
      <left style="dashed">
        <color auto="1"/>
      </left>
      <right style="thick">
        <color auto="1"/>
      </right>
      <top style="dashed">
        <color auto="1"/>
      </top>
      <bottom style="dashed">
        <color auto="1"/>
      </bottom>
      <diagonal/>
    </border>
    <border>
      <left style="thick">
        <color auto="1"/>
      </left>
      <right style="dashed">
        <color auto="1"/>
      </right>
      <top style="dashed">
        <color auto="1"/>
      </top>
      <bottom style="thick">
        <color auto="1"/>
      </bottom>
      <diagonal/>
    </border>
    <border>
      <left style="dashed">
        <color auto="1"/>
      </left>
      <right style="dashed">
        <color auto="1"/>
      </right>
      <top style="dashed">
        <color auto="1"/>
      </top>
      <bottom style="thick">
        <color auto="1"/>
      </bottom>
      <diagonal/>
    </border>
    <border>
      <left style="dashed">
        <color auto="1"/>
      </left>
      <right style="thick">
        <color auto="1"/>
      </right>
      <top style="dashed">
        <color auto="1"/>
      </top>
      <bottom style="thick">
        <color auto="1"/>
      </bottom>
      <diagonal/>
    </border>
    <border>
      <left style="thick">
        <color auto="1"/>
      </left>
      <right/>
      <top style="thick">
        <color auto="1"/>
      </top>
      <bottom style="dashed">
        <color auto="1"/>
      </bottom>
      <diagonal/>
    </border>
    <border>
      <left/>
      <right/>
      <top style="thick">
        <color auto="1"/>
      </top>
      <bottom style="dashed">
        <color auto="1"/>
      </bottom>
      <diagonal/>
    </border>
    <border>
      <left/>
      <right style="thick">
        <color auto="1"/>
      </right>
      <top style="thick">
        <color auto="1"/>
      </top>
      <bottom style="dashed">
        <color auto="1"/>
      </bottom>
      <diagonal/>
    </border>
    <border>
      <left/>
      <right style="thin">
        <color auto="1"/>
      </right>
      <top style="thick">
        <color auto="1"/>
      </top>
      <bottom style="thick">
        <color auto="1"/>
      </bottom>
      <diagonal/>
    </border>
    <border>
      <left/>
      <right style="dashed">
        <color auto="1"/>
      </right>
      <top style="thick">
        <color auto="1"/>
      </top>
      <bottom style="dashed">
        <color auto="1"/>
      </bottom>
      <diagonal/>
    </border>
    <border>
      <left style="dashed">
        <color auto="1"/>
      </left>
      <right/>
      <top style="thick">
        <color auto="1"/>
      </top>
      <bottom style="dashed">
        <color auto="1"/>
      </bottom>
      <diagonal/>
    </border>
    <border>
      <left style="thick">
        <color auto="1"/>
      </left>
      <right style="dashed">
        <color auto="1"/>
      </right>
      <top style="dashed">
        <color auto="1"/>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ck">
        <color auto="1"/>
      </left>
      <right style="thin">
        <color auto="1"/>
      </right>
      <top style="thick">
        <color auto="1"/>
      </top>
      <bottom style="thick">
        <color auto="1"/>
      </bottom>
      <diagonal/>
    </border>
    <border>
      <left style="double">
        <color auto="1"/>
      </left>
      <right style="double">
        <color auto="1"/>
      </right>
      <top style="double">
        <color auto="1"/>
      </top>
      <bottom style="double">
        <color auto="1"/>
      </bottom>
      <diagonal/>
    </border>
    <border>
      <left/>
      <right/>
      <top style="double">
        <color auto="1"/>
      </top>
      <bottom/>
      <diagonal/>
    </border>
  </borders>
  <cellStyleXfs count="67">
    <xf numFmtId="0" fontId="0" fillId="0" borderId="0"/>
    <xf numFmtId="9" fontId="5" fillId="0" borderId="0" applyFont="0" applyFill="0" applyBorder="0" applyAlignment="0" applyProtection="0"/>
    <xf numFmtId="0" fontId="5" fillId="0" borderId="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4" fillId="0" borderId="0"/>
    <xf numFmtId="0" fontId="3" fillId="0" borderId="0"/>
    <xf numFmtId="0" fontId="2" fillId="0" borderId="0"/>
    <xf numFmtId="0" fontId="2" fillId="0" borderId="0"/>
    <xf numFmtId="0" fontId="1" fillId="0" borderId="0"/>
    <xf numFmtId="0" fontId="1" fillId="0" borderId="0"/>
  </cellStyleXfs>
  <cellXfs count="568">
    <xf numFmtId="0" fontId="0" fillId="0" borderId="0" xfId="0"/>
    <xf numFmtId="0" fontId="7" fillId="0" borderId="10" xfId="0" applyFont="1" applyBorder="1" applyAlignment="1">
      <alignment horizontal="center" vertical="center" wrapText="1"/>
    </xf>
    <xf numFmtId="0" fontId="9" fillId="0" borderId="10" xfId="0" applyFont="1" applyBorder="1" applyAlignment="1">
      <alignment wrapText="1"/>
    </xf>
    <xf numFmtId="0" fontId="0" fillId="0" borderId="11" xfId="0" applyBorder="1"/>
    <xf numFmtId="0" fontId="0" fillId="0" borderId="12" xfId="0" applyBorder="1"/>
    <xf numFmtId="0" fontId="11" fillId="2" borderId="0" xfId="0" applyFont="1" applyFill="1" applyBorder="1" applyAlignment="1" applyProtection="1">
      <alignment horizontal="center" vertical="center"/>
      <protection locked="0"/>
    </xf>
    <xf numFmtId="0" fontId="11" fillId="2" borderId="14" xfId="0" applyFont="1" applyFill="1" applyBorder="1" applyAlignment="1" applyProtection="1">
      <alignment horizontal="center" vertical="center"/>
      <protection locked="0"/>
    </xf>
    <xf numFmtId="166" fontId="0" fillId="0" borderId="0" xfId="0" applyNumberFormat="1"/>
    <xf numFmtId="0" fontId="27" fillId="2" borderId="5" xfId="0" applyFont="1" applyFill="1" applyBorder="1" applyAlignment="1" applyProtection="1">
      <alignment horizontal="center" vertical="center"/>
      <protection locked="0"/>
    </xf>
    <xf numFmtId="0" fontId="15" fillId="2" borderId="21" xfId="0" applyFont="1" applyFill="1" applyBorder="1" applyProtection="1"/>
    <xf numFmtId="0" fontId="11" fillId="2" borderId="15" xfId="0" applyFont="1" applyFill="1" applyBorder="1" applyAlignment="1" applyProtection="1">
      <alignment horizontal="center"/>
    </xf>
    <xf numFmtId="0" fontId="15" fillId="2" borderId="22" xfId="0" applyFont="1" applyFill="1" applyBorder="1" applyProtection="1"/>
    <xf numFmtId="0" fontId="15" fillId="3" borderId="14" xfId="0" applyFont="1" applyFill="1" applyBorder="1" applyAlignment="1" applyProtection="1">
      <alignment vertical="center"/>
    </xf>
    <xf numFmtId="0" fontId="15" fillId="3" borderId="14" xfId="0" applyFont="1" applyFill="1" applyBorder="1" applyProtection="1"/>
    <xf numFmtId="0" fontId="15" fillId="3" borderId="15" xfId="0" applyFont="1" applyFill="1" applyBorder="1" applyProtection="1"/>
    <xf numFmtId="0" fontId="8" fillId="2" borderId="15" xfId="0" applyFont="1" applyFill="1" applyBorder="1" applyAlignment="1" applyProtection="1">
      <alignment horizontal="left" vertical="center"/>
    </xf>
    <xf numFmtId="0" fontId="11" fillId="3" borderId="0" xfId="0" applyFont="1" applyFill="1" applyAlignment="1" applyProtection="1">
      <alignment horizontal="center"/>
    </xf>
    <xf numFmtId="0" fontId="11" fillId="2" borderId="8" xfId="0" applyFont="1" applyFill="1" applyBorder="1" applyAlignment="1" applyProtection="1">
      <alignment horizontal="center" vertical="center"/>
    </xf>
    <xf numFmtId="0" fontId="15" fillId="3" borderId="0" xfId="0" applyFont="1" applyFill="1" applyProtection="1"/>
    <xf numFmtId="0" fontId="15" fillId="3" borderId="22" xfId="0" applyFont="1" applyFill="1" applyBorder="1" applyProtection="1"/>
    <xf numFmtId="0" fontId="11" fillId="2" borderId="24" xfId="0" applyFont="1" applyFill="1" applyBorder="1" applyProtection="1"/>
    <xf numFmtId="0" fontId="15" fillId="3" borderId="19" xfId="0" applyFont="1" applyFill="1" applyBorder="1" applyProtection="1"/>
    <xf numFmtId="0" fontId="23" fillId="3" borderId="19" xfId="0" applyFont="1" applyFill="1" applyBorder="1" applyProtection="1"/>
    <xf numFmtId="0" fontId="15" fillId="3" borderId="25" xfId="0" applyFont="1" applyFill="1" applyBorder="1" applyProtection="1"/>
    <xf numFmtId="0" fontId="15" fillId="3" borderId="0" xfId="0" applyFont="1" applyFill="1" applyBorder="1" applyProtection="1"/>
    <xf numFmtId="0" fontId="13" fillId="2" borderId="26" xfId="0" applyFont="1" applyFill="1" applyBorder="1" applyAlignment="1" applyProtection="1">
      <alignment horizontal="center" vertical="center" wrapText="1"/>
    </xf>
    <xf numFmtId="0" fontId="8" fillId="2" borderId="27" xfId="0" applyFont="1" applyFill="1" applyBorder="1" applyAlignment="1" applyProtection="1">
      <alignment horizontal="center" vertical="center" wrapText="1"/>
    </xf>
    <xf numFmtId="0" fontId="14" fillId="2" borderId="27" xfId="0" applyFont="1" applyFill="1" applyBorder="1" applyAlignment="1" applyProtection="1">
      <alignment horizontal="center" vertical="center" wrapText="1"/>
    </xf>
    <xf numFmtId="0" fontId="13"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1" fillId="2" borderId="0" xfId="0" applyFont="1" applyFill="1" applyBorder="1" applyAlignment="1" applyProtection="1">
      <alignment vertical="center"/>
    </xf>
    <xf numFmtId="0" fontId="15" fillId="2" borderId="0" xfId="0" applyFont="1" applyFill="1" applyProtection="1"/>
    <xf numFmtId="0" fontId="11" fillId="2" borderId="0" xfId="0" applyFont="1" applyFill="1" applyBorder="1" applyAlignment="1" applyProtection="1">
      <alignment horizontal="left"/>
    </xf>
    <xf numFmtId="0" fontId="10" fillId="2" borderId="0" xfId="0" applyFont="1" applyFill="1" applyBorder="1" applyAlignment="1" applyProtection="1">
      <alignment horizontal="left"/>
    </xf>
    <xf numFmtId="0" fontId="11" fillId="3" borderId="15" xfId="0" applyFont="1" applyFill="1" applyBorder="1" applyAlignment="1" applyProtection="1">
      <alignment horizontal="center"/>
    </xf>
    <xf numFmtId="0" fontId="11" fillId="3" borderId="29" xfId="0" applyFont="1" applyFill="1" applyBorder="1" applyAlignment="1" applyProtection="1">
      <alignment horizontal="center"/>
    </xf>
    <xf numFmtId="0" fontId="8" fillId="2" borderId="0" xfId="0" applyFont="1" applyFill="1" applyBorder="1" applyAlignment="1" applyProtection="1">
      <alignment horizontal="left"/>
    </xf>
    <xf numFmtId="0" fontId="8" fillId="2" borderId="0" xfId="0" applyFont="1" applyFill="1" applyBorder="1" applyAlignment="1" applyProtection="1">
      <alignment horizontal="left" vertical="center"/>
    </xf>
    <xf numFmtId="0" fontId="12" fillId="2" borderId="0" xfId="0" applyFont="1" applyFill="1" applyAlignment="1" applyProtection="1"/>
    <xf numFmtId="0" fontId="15" fillId="2" borderId="14" xfId="0" applyFont="1" applyFill="1" applyBorder="1" applyProtection="1"/>
    <xf numFmtId="0" fontId="11" fillId="2" borderId="14" xfId="0" applyFont="1" applyFill="1" applyBorder="1" applyProtection="1"/>
    <xf numFmtId="0" fontId="11" fillId="2" borderId="21" xfId="0" applyFont="1" applyFill="1" applyBorder="1" applyProtection="1"/>
    <xf numFmtId="0" fontId="11" fillId="2" borderId="22" xfId="0" applyFont="1" applyFill="1" applyBorder="1" applyProtection="1"/>
    <xf numFmtId="0" fontId="15" fillId="2" borderId="0" xfId="0" applyFont="1" applyFill="1" applyBorder="1" applyAlignment="1" applyProtection="1"/>
    <xf numFmtId="0" fontId="11" fillId="2" borderId="0" xfId="0" applyFont="1" applyFill="1" applyBorder="1" applyAlignment="1" applyProtection="1"/>
    <xf numFmtId="0" fontId="8" fillId="2" borderId="0" xfId="0" applyFont="1" applyFill="1" applyBorder="1" applyAlignment="1" applyProtection="1"/>
    <xf numFmtId="0" fontId="16" fillId="3" borderId="0" xfId="0" applyFont="1" applyFill="1" applyAlignment="1" applyProtection="1">
      <alignment horizontal="center"/>
    </xf>
    <xf numFmtId="166" fontId="15" fillId="3" borderId="0" xfId="0" applyNumberFormat="1" applyFont="1" applyFill="1" applyBorder="1" applyAlignment="1" applyProtection="1">
      <alignment vertical="center"/>
    </xf>
    <xf numFmtId="0" fontId="15" fillId="3" borderId="18" xfId="0" applyFont="1" applyFill="1" applyBorder="1" applyProtection="1"/>
    <xf numFmtId="0" fontId="15" fillId="3" borderId="5" xfId="0" applyFont="1" applyFill="1" applyBorder="1" applyProtection="1"/>
    <xf numFmtId="0" fontId="16" fillId="3" borderId="0" xfId="0" applyFont="1" applyFill="1" applyProtection="1"/>
    <xf numFmtId="0" fontId="11" fillId="3" borderId="0" xfId="0" applyFont="1" applyFill="1" applyAlignment="1" applyProtection="1">
      <alignment horizontal="center" vertical="center" wrapText="1"/>
    </xf>
    <xf numFmtId="0" fontId="24" fillId="3" borderId="0" xfId="0" applyFont="1" applyFill="1" applyAlignment="1" applyProtection="1">
      <alignment horizontal="center"/>
    </xf>
    <xf numFmtId="0" fontId="10" fillId="3" borderId="0" xfId="0" applyFont="1" applyFill="1" applyBorder="1" applyAlignment="1" applyProtection="1">
      <alignment horizontal="center"/>
    </xf>
    <xf numFmtId="0" fontId="10" fillId="3" borderId="0" xfId="0" applyFont="1" applyFill="1" applyBorder="1" applyProtection="1"/>
    <xf numFmtId="0" fontId="16" fillId="3" borderId="0" xfId="0" applyFont="1" applyFill="1" applyBorder="1" applyProtection="1"/>
    <xf numFmtId="0" fontId="27" fillId="2" borderId="32" xfId="0" applyFont="1" applyFill="1" applyBorder="1" applyAlignment="1" applyProtection="1">
      <alignment horizontal="center" vertical="center"/>
      <protection locked="0"/>
    </xf>
    <xf numFmtId="0" fontId="15" fillId="0" borderId="0" xfId="0" applyFont="1" applyFill="1" applyProtection="1"/>
    <xf numFmtId="0" fontId="27" fillId="2" borderId="33"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wrapText="1"/>
    </xf>
    <xf numFmtId="0" fontId="11" fillId="3" borderId="0" xfId="0" applyFont="1" applyFill="1" applyBorder="1" applyAlignment="1" applyProtection="1">
      <alignment horizontal="left"/>
    </xf>
    <xf numFmtId="0" fontId="11" fillId="3" borderId="0" xfId="0" applyFont="1" applyFill="1" applyBorder="1" applyAlignment="1" applyProtection="1">
      <alignment horizontal="center"/>
    </xf>
    <xf numFmtId="0" fontId="11" fillId="2" borderId="34" xfId="0" applyFont="1" applyFill="1" applyBorder="1" applyAlignment="1" applyProtection="1">
      <alignment horizontal="center" vertical="center" wrapText="1"/>
    </xf>
    <xf numFmtId="0" fontId="11" fillId="2" borderId="19" xfId="0" applyFont="1" applyFill="1" applyBorder="1" applyProtection="1"/>
    <xf numFmtId="0" fontId="8" fillId="2" borderId="37" xfId="0" applyFont="1" applyFill="1" applyBorder="1" applyAlignment="1" applyProtection="1">
      <alignment horizontal="center" vertical="center" wrapText="1"/>
    </xf>
    <xf numFmtId="0" fontId="11" fillId="2" borderId="15" xfId="0" applyFont="1" applyFill="1" applyBorder="1" applyProtection="1"/>
    <xf numFmtId="0" fontId="15" fillId="2" borderId="22" xfId="0" applyFont="1" applyFill="1" applyBorder="1" applyAlignment="1" applyProtection="1">
      <alignment horizontal="center"/>
    </xf>
    <xf numFmtId="0" fontId="16" fillId="2" borderId="22" xfId="0" applyFont="1" applyFill="1" applyBorder="1" applyAlignment="1" applyProtection="1">
      <alignment horizontal="center"/>
    </xf>
    <xf numFmtId="0" fontId="28" fillId="2" borderId="19" xfId="0" applyFont="1" applyFill="1" applyBorder="1" applyProtection="1"/>
    <xf numFmtId="0" fontId="8" fillId="2" borderId="42" xfId="0" applyFont="1" applyFill="1" applyBorder="1" applyAlignment="1" applyProtection="1">
      <alignment horizontal="center" vertical="center"/>
    </xf>
    <xf numFmtId="0" fontId="23" fillId="2" borderId="0" xfId="0" applyFont="1" applyFill="1" applyBorder="1" applyAlignment="1" applyProtection="1">
      <alignment horizontal="center" vertical="center" wrapText="1"/>
    </xf>
    <xf numFmtId="0" fontId="8" fillId="2" borderId="13" xfId="0" applyFont="1" applyFill="1" applyBorder="1" applyAlignment="1" applyProtection="1">
      <alignment horizontal="left"/>
    </xf>
    <xf numFmtId="0" fontId="8" fillId="2" borderId="14" xfId="0" applyFont="1" applyFill="1" applyBorder="1" applyAlignment="1" applyProtection="1">
      <alignment horizontal="left"/>
    </xf>
    <xf numFmtId="0" fontId="11" fillId="2" borderId="14" xfId="0" applyFont="1" applyFill="1" applyBorder="1" applyAlignment="1" applyProtection="1">
      <alignment horizontal="center"/>
    </xf>
    <xf numFmtId="0" fontId="8" fillId="2" borderId="0" xfId="0" applyFont="1" applyFill="1" applyAlignment="1" applyProtection="1">
      <alignment horizontal="left" vertical="center"/>
      <protection locked="0"/>
    </xf>
    <xf numFmtId="0" fontId="15" fillId="2" borderId="14" xfId="0" applyFont="1" applyFill="1" applyBorder="1" applyAlignment="1" applyProtection="1">
      <alignment vertical="center"/>
      <protection locked="0"/>
    </xf>
    <xf numFmtId="0" fontId="13" fillId="2" borderId="0" xfId="0" applyFont="1" applyFill="1" applyAlignment="1" applyProtection="1">
      <protection locked="0"/>
    </xf>
    <xf numFmtId="0" fontId="13" fillId="2" borderId="0" xfId="0" applyFont="1" applyFill="1" applyAlignment="1" applyProtection="1">
      <alignment horizontal="left" vertical="center"/>
      <protection locked="0"/>
    </xf>
    <xf numFmtId="0" fontId="8" fillId="2" borderId="3" xfId="0" applyFont="1" applyFill="1" applyBorder="1" applyAlignment="1" applyProtection="1">
      <alignment horizontal="center" vertical="center" wrapText="1"/>
    </xf>
    <xf numFmtId="0" fontId="14" fillId="0" borderId="26" xfId="0" applyFont="1" applyFill="1" applyBorder="1" applyAlignment="1" applyProtection="1">
      <alignment horizontal="center" vertical="center" wrapText="1"/>
    </xf>
    <xf numFmtId="0" fontId="7" fillId="2" borderId="35" xfId="0" applyFont="1" applyFill="1" applyBorder="1" applyAlignment="1" applyProtection="1">
      <alignment horizontal="center" vertical="center" wrapText="1"/>
    </xf>
    <xf numFmtId="0" fontId="11" fillId="2" borderId="36" xfId="0" applyFont="1" applyFill="1" applyBorder="1" applyAlignment="1" applyProtection="1">
      <alignment horizontal="center" vertical="center" wrapText="1"/>
    </xf>
    <xf numFmtId="0" fontId="24" fillId="3" borderId="0" xfId="0" applyFont="1" applyFill="1" applyBorder="1" applyAlignment="1" applyProtection="1">
      <alignment horizontal="center"/>
    </xf>
    <xf numFmtId="0" fontId="29" fillId="3" borderId="0" xfId="0" applyFont="1" applyFill="1" applyBorder="1" applyAlignment="1" applyProtection="1">
      <alignment horizontal="center"/>
    </xf>
    <xf numFmtId="167" fontId="16" fillId="3" borderId="0" xfId="0" applyNumberFormat="1" applyFont="1" applyFill="1" applyBorder="1" applyProtection="1"/>
    <xf numFmtId="1" fontId="16" fillId="3" borderId="26" xfId="0" applyNumberFormat="1" applyFont="1" applyFill="1" applyBorder="1" applyAlignment="1" applyProtection="1">
      <alignment horizontal="center" vertical="center"/>
    </xf>
    <xf numFmtId="0" fontId="16" fillId="3" borderId="5" xfId="0" applyFont="1" applyFill="1" applyBorder="1" applyProtection="1"/>
    <xf numFmtId="0" fontId="11" fillId="2" borderId="16" xfId="0" applyFont="1" applyFill="1" applyBorder="1" applyAlignment="1" applyProtection="1">
      <alignment vertical="center"/>
    </xf>
    <xf numFmtId="0" fontId="11" fillId="2" borderId="16" xfId="0" applyFont="1" applyFill="1" applyBorder="1" applyProtection="1"/>
    <xf numFmtId="0" fontId="15" fillId="2" borderId="24" xfId="0" applyFont="1" applyFill="1" applyBorder="1" applyAlignment="1" applyProtection="1">
      <alignment horizontal="left"/>
    </xf>
    <xf numFmtId="0" fontId="11" fillId="2" borderId="22" xfId="0" applyFont="1" applyFill="1" applyBorder="1" applyAlignment="1" applyProtection="1">
      <alignment horizontal="center" vertical="center"/>
    </xf>
    <xf numFmtId="0" fontId="11" fillId="2" borderId="19" xfId="0" applyFont="1" applyFill="1" applyBorder="1" applyAlignment="1" applyProtection="1">
      <alignment horizontal="center"/>
    </xf>
    <xf numFmtId="0" fontId="15" fillId="2" borderId="19" xfId="0" applyFont="1" applyFill="1" applyBorder="1" applyProtection="1"/>
    <xf numFmtId="0" fontId="11" fillId="2" borderId="19" xfId="0" applyFont="1" applyFill="1" applyBorder="1" applyAlignment="1" applyProtection="1">
      <alignment vertical="center"/>
    </xf>
    <xf numFmtId="0" fontId="16" fillId="2" borderId="0" xfId="0" applyFont="1" applyFill="1" applyBorder="1" applyAlignment="1" applyProtection="1">
      <alignment horizontal="center"/>
    </xf>
    <xf numFmtId="0" fontId="25" fillId="2" borderId="8" xfId="0" applyFont="1" applyFill="1" applyBorder="1" applyAlignment="1" applyProtection="1">
      <alignment vertical="center"/>
    </xf>
    <xf numFmtId="0" fontId="25" fillId="2" borderId="49" xfId="0" applyFont="1" applyFill="1" applyBorder="1" applyAlignment="1" applyProtection="1">
      <alignment vertical="center"/>
    </xf>
    <xf numFmtId="0" fontId="15" fillId="3" borderId="49" xfId="0" applyFont="1" applyFill="1" applyBorder="1" applyAlignment="1" applyProtection="1">
      <alignment vertical="center"/>
    </xf>
    <xf numFmtId="0" fontId="15" fillId="3" borderId="0" xfId="0" applyFont="1" applyFill="1" applyProtection="1">
      <protection locked="0"/>
    </xf>
    <xf numFmtId="0" fontId="11" fillId="3" borderId="0" xfId="0" applyFont="1" applyFill="1" applyAlignment="1" applyProtection="1">
      <alignment horizontal="center"/>
      <protection locked="0"/>
    </xf>
    <xf numFmtId="0" fontId="15" fillId="3" borderId="0" xfId="0" applyFont="1" applyFill="1" applyBorder="1" applyProtection="1">
      <protection locked="0"/>
    </xf>
    <xf numFmtId="0" fontId="11" fillId="2" borderId="0" xfId="0" applyFont="1" applyFill="1" applyBorder="1" applyAlignment="1" applyProtection="1">
      <alignment horizontal="center"/>
    </xf>
    <xf numFmtId="0" fontId="15" fillId="2" borderId="0" xfId="0" applyFont="1" applyFill="1" applyBorder="1" applyProtection="1"/>
    <xf numFmtId="0" fontId="11" fillId="2" borderId="0" xfId="0" applyFont="1" applyFill="1" applyBorder="1" applyProtection="1"/>
    <xf numFmtId="0" fontId="14" fillId="2" borderId="26" xfId="0" applyFont="1" applyFill="1" applyBorder="1" applyAlignment="1" applyProtection="1">
      <alignment horizontal="center" vertical="center" wrapText="1"/>
    </xf>
    <xf numFmtId="0" fontId="8" fillId="2" borderId="28" xfId="0" applyFont="1" applyFill="1" applyBorder="1" applyAlignment="1" applyProtection="1">
      <alignment horizontal="center" vertical="center" wrapText="1"/>
    </xf>
    <xf numFmtId="0" fontId="12" fillId="2" borderId="28" xfId="0" applyFont="1" applyFill="1" applyBorder="1" applyAlignment="1" applyProtection="1">
      <alignment horizontal="center" vertical="center" wrapText="1"/>
    </xf>
    <xf numFmtId="0" fontId="15" fillId="3" borderId="16" xfId="0" applyFont="1" applyFill="1" applyBorder="1" applyProtection="1"/>
    <xf numFmtId="1" fontId="11" fillId="2" borderId="18" xfId="0" applyNumberFormat="1" applyFont="1" applyFill="1" applyBorder="1" applyAlignment="1" applyProtection="1">
      <alignment horizontal="center" vertical="center"/>
      <protection locked="0"/>
    </xf>
    <xf numFmtId="165" fontId="11" fillId="2" borderId="18" xfId="0" applyNumberFormat="1" applyFont="1" applyFill="1" applyBorder="1" applyAlignment="1" applyProtection="1">
      <alignment horizontal="center" vertical="center"/>
      <protection locked="0"/>
    </xf>
    <xf numFmtId="0" fontId="12" fillId="2" borderId="26" xfId="0" applyFont="1" applyFill="1" applyBorder="1" applyAlignment="1" applyProtection="1">
      <alignment horizontal="center" vertical="center" wrapText="1"/>
    </xf>
    <xf numFmtId="0" fontId="15" fillId="2" borderId="0" xfId="0" applyFont="1" applyFill="1" applyBorder="1" applyAlignment="1" applyProtection="1">
      <alignment vertical="center"/>
    </xf>
    <xf numFmtId="0" fontId="11" fillId="3" borderId="17" xfId="0" applyFont="1" applyFill="1" applyBorder="1" applyAlignment="1" applyProtection="1">
      <alignment horizontal="center" vertical="center"/>
      <protection locked="0"/>
    </xf>
    <xf numFmtId="0" fontId="11" fillId="3" borderId="5" xfId="0" applyFont="1" applyFill="1" applyBorder="1" applyAlignment="1" applyProtection="1">
      <alignment horizontal="center" vertical="center"/>
    </xf>
    <xf numFmtId="0" fontId="11" fillId="3" borderId="5" xfId="0" applyFont="1" applyFill="1" applyBorder="1" applyAlignment="1" applyProtection="1">
      <alignment horizontal="center"/>
    </xf>
    <xf numFmtId="0" fontId="12" fillId="2" borderId="20" xfId="0" applyFont="1" applyFill="1" applyBorder="1" applyAlignment="1" applyProtection="1">
      <alignment horizontal="center" vertical="center" wrapText="1"/>
    </xf>
    <xf numFmtId="0" fontId="8" fillId="2" borderId="26" xfId="0" applyFont="1" applyFill="1" applyBorder="1" applyAlignment="1" applyProtection="1">
      <alignment horizontal="center" vertical="center" wrapText="1"/>
    </xf>
    <xf numFmtId="0" fontId="12" fillId="2" borderId="27" xfId="0" applyFont="1" applyFill="1" applyBorder="1" applyAlignment="1" applyProtection="1">
      <alignment horizontal="center" vertical="center" wrapText="1"/>
    </xf>
    <xf numFmtId="0" fontId="8" fillId="2" borderId="20" xfId="0" applyFont="1" applyFill="1" applyBorder="1" applyAlignment="1" applyProtection="1">
      <alignment horizontal="center" vertical="center" wrapText="1"/>
    </xf>
    <xf numFmtId="0" fontId="11" fillId="2" borderId="25" xfId="0" applyFont="1" applyFill="1" applyBorder="1" applyAlignment="1" applyProtection="1">
      <alignment horizontal="center" vertical="center"/>
    </xf>
    <xf numFmtId="14" fontId="15" fillId="3" borderId="5" xfId="0" applyNumberFormat="1" applyFont="1" applyFill="1" applyBorder="1" applyProtection="1"/>
    <xf numFmtId="0" fontId="32" fillId="3" borderId="0" xfId="0" applyFont="1" applyFill="1" applyBorder="1" applyAlignment="1" applyProtection="1">
      <alignment vertical="center"/>
    </xf>
    <xf numFmtId="0" fontId="11" fillId="2" borderId="0" xfId="0" applyFont="1" applyFill="1" applyBorder="1" applyAlignment="1" applyProtection="1">
      <alignment horizontal="center" vertical="center"/>
    </xf>
    <xf numFmtId="0" fontId="11" fillId="2" borderId="14" xfId="0" applyFont="1" applyFill="1" applyBorder="1" applyAlignment="1" applyProtection="1">
      <alignment horizontal="center" vertical="center"/>
    </xf>
    <xf numFmtId="0" fontId="11" fillId="2" borderId="0" xfId="0" applyFont="1" applyFill="1" applyBorder="1" applyAlignment="1" applyProtection="1">
      <alignment horizontal="left" vertical="center"/>
    </xf>
    <xf numFmtId="165" fontId="11" fillId="5" borderId="5" xfId="0" applyNumberFormat="1" applyFont="1" applyFill="1" applyBorder="1" applyAlignment="1" applyProtection="1">
      <alignment horizontal="center" vertical="center"/>
    </xf>
    <xf numFmtId="164" fontId="11" fillId="6" borderId="5" xfId="0" applyNumberFormat="1" applyFont="1" applyFill="1" applyBorder="1" applyAlignment="1" applyProtection="1">
      <alignment horizontal="center" vertical="center"/>
    </xf>
    <xf numFmtId="1" fontId="11" fillId="5" borderId="5" xfId="1" applyNumberFormat="1" applyFont="1" applyFill="1" applyBorder="1" applyAlignment="1" applyProtection="1">
      <alignment horizontal="center" vertical="center"/>
    </xf>
    <xf numFmtId="1" fontId="11" fillId="5" borderId="8" xfId="0" applyNumberFormat="1" applyFont="1" applyFill="1" applyBorder="1" applyAlignment="1" applyProtection="1">
      <alignment horizontal="center" vertical="center"/>
    </xf>
    <xf numFmtId="167" fontId="8" fillId="5" borderId="32" xfId="0" applyNumberFormat="1" applyFont="1" applyFill="1" applyBorder="1" applyAlignment="1" applyProtection="1">
      <alignment horizontal="center" vertical="center"/>
    </xf>
    <xf numFmtId="0" fontId="11" fillId="5" borderId="40" xfId="0" applyFont="1" applyFill="1" applyBorder="1" applyAlignment="1" applyProtection="1">
      <alignment horizontal="center" vertical="center"/>
    </xf>
    <xf numFmtId="1" fontId="11" fillId="5" borderId="40" xfId="0" applyNumberFormat="1" applyFont="1" applyFill="1" applyBorder="1" applyAlignment="1" applyProtection="1">
      <alignment horizontal="center" vertical="center"/>
    </xf>
    <xf numFmtId="14" fontId="15" fillId="3" borderId="0" xfId="0" applyNumberFormat="1" applyFont="1" applyFill="1" applyBorder="1" applyProtection="1"/>
    <xf numFmtId="0" fontId="11" fillId="2" borderId="13" xfId="0" applyFont="1" applyFill="1" applyBorder="1" applyAlignment="1" applyProtection="1">
      <alignment horizontal="center" vertical="center"/>
    </xf>
    <xf numFmtId="0" fontId="15" fillId="2" borderId="14" xfId="0" applyFont="1" applyFill="1" applyBorder="1" applyAlignment="1" applyProtection="1">
      <alignment horizontal="left"/>
    </xf>
    <xf numFmtId="14" fontId="11" fillId="2" borderId="0" xfId="0" applyNumberFormat="1" applyFont="1" applyFill="1" applyBorder="1" applyProtection="1"/>
    <xf numFmtId="0" fontId="11" fillId="2" borderId="15" xfId="0" applyFont="1" applyFill="1" applyBorder="1" applyAlignment="1" applyProtection="1">
      <alignment horizontal="center" vertical="center"/>
    </xf>
    <xf numFmtId="0" fontId="13" fillId="2" borderId="0" xfId="0" applyFont="1" applyFill="1" applyAlignment="1" applyProtection="1"/>
    <xf numFmtId="0" fontId="30" fillId="2" borderId="0" xfId="0" applyFont="1" applyFill="1" applyBorder="1" applyAlignment="1" applyProtection="1">
      <alignment vertical="center"/>
    </xf>
    <xf numFmtId="0" fontId="14" fillId="2" borderId="0" xfId="0" applyFont="1" applyFill="1" applyAlignment="1" applyProtection="1"/>
    <xf numFmtId="14" fontId="15" fillId="2" borderId="0" xfId="0" applyNumberFormat="1" applyFont="1" applyFill="1" applyBorder="1" applyAlignment="1" applyProtection="1"/>
    <xf numFmtId="14" fontId="11" fillId="2" borderId="0" xfId="0" applyNumberFormat="1" applyFont="1" applyFill="1" applyBorder="1" applyAlignment="1" applyProtection="1"/>
    <xf numFmtId="0" fontId="11" fillId="3" borderId="0" xfId="0" applyFont="1" applyFill="1" applyBorder="1" applyProtection="1"/>
    <xf numFmtId="14" fontId="15" fillId="2" borderId="0" xfId="0" applyNumberFormat="1" applyFont="1" applyFill="1" applyBorder="1" applyAlignment="1" applyProtection="1">
      <alignment vertical="center"/>
    </xf>
    <xf numFmtId="0" fontId="15" fillId="3" borderId="0" xfId="0" applyFont="1" applyFill="1" applyAlignment="1" applyProtection="1">
      <alignment horizontal="center"/>
    </xf>
    <xf numFmtId="0" fontId="24" fillId="2" borderId="0" xfId="0" applyFont="1" applyFill="1" applyAlignment="1" applyProtection="1">
      <alignment horizontal="center"/>
    </xf>
    <xf numFmtId="0" fontId="14" fillId="2" borderId="17" xfId="0" applyFont="1" applyFill="1" applyBorder="1" applyAlignment="1" applyProtection="1">
      <alignment horizontal="center" vertical="center" wrapText="1"/>
    </xf>
    <xf numFmtId="14" fontId="14" fillId="2" borderId="31" xfId="0" applyNumberFormat="1" applyFont="1" applyFill="1" applyBorder="1" applyAlignment="1" applyProtection="1">
      <alignment horizontal="center" vertical="center" wrapText="1"/>
    </xf>
    <xf numFmtId="0" fontId="16" fillId="3" borderId="17" xfId="0" applyFont="1" applyFill="1" applyBorder="1" applyProtection="1"/>
    <xf numFmtId="0" fontId="10" fillId="3" borderId="52" xfId="0" applyFont="1" applyFill="1" applyBorder="1" applyAlignment="1" applyProtection="1">
      <alignment horizontal="center" vertical="center" textRotation="90"/>
    </xf>
    <xf numFmtId="0" fontId="16" fillId="3" borderId="19" xfId="0" applyFont="1" applyFill="1" applyBorder="1" applyAlignment="1" applyProtection="1">
      <alignment horizontal="center"/>
    </xf>
    <xf numFmtId="165" fontId="15" fillId="3" borderId="0" xfId="0" applyNumberFormat="1" applyFont="1" applyFill="1" applyBorder="1" applyAlignment="1" applyProtection="1">
      <alignment horizontal="center"/>
    </xf>
    <xf numFmtId="0" fontId="16" fillId="3" borderId="0" xfId="0" applyFont="1" applyFill="1" applyBorder="1" applyAlignment="1" applyProtection="1">
      <alignment horizontal="center"/>
    </xf>
    <xf numFmtId="0" fontId="10" fillId="3" borderId="19" xfId="0" applyFont="1" applyFill="1" applyBorder="1" applyAlignment="1" applyProtection="1">
      <alignment horizontal="center" vertical="center" textRotation="90"/>
    </xf>
    <xf numFmtId="165" fontId="16" fillId="3" borderId="0" xfId="0" applyNumberFormat="1" applyFont="1" applyFill="1" applyBorder="1" applyAlignment="1" applyProtection="1">
      <alignment horizontal="center"/>
    </xf>
    <xf numFmtId="0" fontId="16" fillId="2" borderId="0" xfId="0" applyFont="1" applyFill="1" applyProtection="1"/>
    <xf numFmtId="165" fontId="15" fillId="2" borderId="15" xfId="1" applyNumberFormat="1" applyFont="1" applyFill="1" applyBorder="1" applyAlignment="1" applyProtection="1">
      <alignment horizontal="center"/>
    </xf>
    <xf numFmtId="1" fontId="11" fillId="2" borderId="18" xfId="1" applyNumberFormat="1" applyFont="1" applyFill="1" applyBorder="1" applyAlignment="1" applyProtection="1">
      <alignment vertical="center"/>
    </xf>
    <xf numFmtId="167" fontId="8" fillId="2" borderId="5" xfId="1" applyNumberFormat="1" applyFont="1" applyFill="1" applyBorder="1" applyAlignment="1" applyProtection="1">
      <alignment vertical="center"/>
    </xf>
    <xf numFmtId="0" fontId="16" fillId="3" borderId="18" xfId="0" applyFont="1" applyFill="1" applyBorder="1" applyProtection="1"/>
    <xf numFmtId="0" fontId="16" fillId="3" borderId="26" xfId="0" applyFont="1" applyFill="1" applyBorder="1" applyAlignment="1" applyProtection="1">
      <alignment horizontal="center"/>
    </xf>
    <xf numFmtId="168" fontId="16" fillId="3" borderId="5" xfId="0" applyNumberFormat="1" applyFont="1" applyFill="1" applyBorder="1" applyAlignment="1" applyProtection="1">
      <alignment horizontal="center"/>
    </xf>
    <xf numFmtId="1" fontId="16" fillId="3" borderId="5" xfId="0" applyNumberFormat="1" applyFont="1" applyFill="1" applyBorder="1" applyAlignment="1" applyProtection="1">
      <alignment horizontal="center"/>
    </xf>
    <xf numFmtId="0" fontId="16" fillId="3" borderId="5" xfId="0" applyFont="1" applyFill="1" applyBorder="1" applyAlignment="1" applyProtection="1">
      <alignment horizontal="center"/>
    </xf>
    <xf numFmtId="0" fontId="16" fillId="3" borderId="15" xfId="0" applyFont="1" applyFill="1" applyBorder="1" applyProtection="1"/>
    <xf numFmtId="0" fontId="16" fillId="2" borderId="0" xfId="0" applyFont="1" applyFill="1" applyBorder="1" applyProtection="1"/>
    <xf numFmtId="1" fontId="16" fillId="3" borderId="5" xfId="0" applyNumberFormat="1" applyFont="1" applyFill="1" applyBorder="1" applyAlignment="1" applyProtection="1">
      <alignment horizontal="center" vertical="center"/>
    </xf>
    <xf numFmtId="0" fontId="16" fillId="3" borderId="19" xfId="0" applyFont="1" applyFill="1" applyBorder="1" applyProtection="1"/>
    <xf numFmtId="0" fontId="21" fillId="3" borderId="0" xfId="0" applyFont="1" applyFill="1" applyAlignment="1" applyProtection="1">
      <alignment wrapText="1"/>
    </xf>
    <xf numFmtId="0" fontId="16" fillId="3" borderId="1" xfId="0" applyFont="1" applyFill="1" applyBorder="1" applyProtection="1"/>
    <xf numFmtId="1" fontId="11" fillId="2" borderId="39" xfId="1" applyNumberFormat="1" applyFont="1" applyFill="1" applyBorder="1" applyAlignment="1" applyProtection="1">
      <alignment vertical="center"/>
    </xf>
    <xf numFmtId="0" fontId="16" fillId="3" borderId="39" xfId="0" applyFont="1" applyFill="1" applyBorder="1" applyProtection="1"/>
    <xf numFmtId="0" fontId="10" fillId="3" borderId="15" xfId="0" applyFont="1" applyFill="1" applyBorder="1" applyProtection="1"/>
    <xf numFmtId="0" fontId="10" fillId="2" borderId="0" xfId="0" applyFont="1" applyFill="1" applyBorder="1" applyProtection="1"/>
    <xf numFmtId="1" fontId="11" fillId="2" borderId="17" xfId="1" applyNumberFormat="1" applyFont="1" applyFill="1" applyBorder="1" applyAlignment="1" applyProtection="1">
      <alignment vertical="center"/>
    </xf>
    <xf numFmtId="14" fontId="8" fillId="2" borderId="31" xfId="1" applyNumberFormat="1" applyFont="1" applyFill="1" applyBorder="1" applyAlignment="1" applyProtection="1">
      <alignment vertical="center"/>
    </xf>
    <xf numFmtId="166" fontId="16" fillId="3" borderId="53" xfId="0" applyNumberFormat="1" applyFont="1" applyFill="1" applyBorder="1" applyAlignment="1" applyProtection="1">
      <alignment horizontal="center"/>
    </xf>
    <xf numFmtId="1" fontId="16" fillId="3" borderId="54" xfId="0" applyNumberFormat="1" applyFont="1" applyFill="1" applyBorder="1" applyAlignment="1" applyProtection="1">
      <alignment horizontal="center"/>
    </xf>
    <xf numFmtId="1" fontId="16" fillId="3" borderId="0" xfId="0" applyNumberFormat="1" applyFont="1" applyFill="1" applyBorder="1" applyAlignment="1" applyProtection="1">
      <alignment horizontal="center"/>
    </xf>
    <xf numFmtId="1" fontId="16" fillId="3" borderId="0" xfId="0" applyNumberFormat="1" applyFont="1" applyFill="1" applyBorder="1" applyAlignment="1" applyProtection="1">
      <alignment horizontal="center" vertical="center"/>
    </xf>
    <xf numFmtId="14" fontId="16" fillId="3" borderId="0" xfId="0" applyNumberFormat="1" applyFont="1" applyFill="1" applyBorder="1" applyProtection="1"/>
    <xf numFmtId="1" fontId="15" fillId="3" borderId="0" xfId="0" applyNumberFormat="1" applyFont="1" applyFill="1" applyAlignment="1" applyProtection="1">
      <alignment horizontal="center" vertical="top"/>
    </xf>
    <xf numFmtId="1" fontId="16" fillId="3" borderId="0" xfId="0" applyNumberFormat="1" applyFont="1" applyFill="1" applyAlignment="1" applyProtection="1">
      <alignment horizontal="center"/>
    </xf>
    <xf numFmtId="0" fontId="15" fillId="3" borderId="0" xfId="0" applyFont="1" applyFill="1" applyBorder="1" applyAlignment="1" applyProtection="1">
      <alignment vertical="top"/>
    </xf>
    <xf numFmtId="0" fontId="35" fillId="3" borderId="0" xfId="0" applyFont="1" applyFill="1" applyAlignment="1" applyProtection="1"/>
    <xf numFmtId="0" fontId="15" fillId="3" borderId="0" xfId="0" applyFont="1" applyFill="1" applyAlignment="1" applyProtection="1">
      <alignment vertical="top"/>
    </xf>
    <xf numFmtId="0" fontId="15" fillId="3" borderId="0" xfId="0" applyFont="1" applyFill="1" applyAlignment="1" applyProtection="1">
      <alignment horizontal="center" vertical="top"/>
    </xf>
    <xf numFmtId="14" fontId="16" fillId="3" borderId="0" xfId="0" applyNumberFormat="1" applyFont="1" applyFill="1" applyProtection="1"/>
    <xf numFmtId="0" fontId="26" fillId="3" borderId="0" xfId="0" applyFont="1" applyFill="1" applyAlignment="1" applyProtection="1">
      <alignment vertical="center"/>
    </xf>
    <xf numFmtId="14" fontId="16" fillId="3" borderId="1" xfId="0" applyNumberFormat="1" applyFont="1" applyFill="1" applyBorder="1" applyProtection="1"/>
    <xf numFmtId="1" fontId="14" fillId="2" borderId="18" xfId="0" applyNumberFormat="1" applyFont="1" applyFill="1" applyBorder="1" applyAlignment="1" applyProtection="1">
      <alignment horizontal="center" vertical="center" wrapText="1"/>
    </xf>
    <xf numFmtId="14" fontId="11" fillId="2" borderId="5" xfId="1" applyNumberFormat="1" applyFont="1" applyFill="1" applyBorder="1" applyAlignment="1" applyProtection="1">
      <alignment vertical="center"/>
    </xf>
    <xf numFmtId="1" fontId="16" fillId="3" borderId="38" xfId="0" applyNumberFormat="1" applyFont="1" applyFill="1" applyBorder="1" applyAlignment="1" applyProtection="1">
      <alignment horizontal="center"/>
    </xf>
    <xf numFmtId="0" fontId="16" fillId="3" borderId="38" xfId="0" applyFont="1" applyFill="1" applyBorder="1" applyAlignment="1" applyProtection="1">
      <alignment horizontal="center"/>
    </xf>
    <xf numFmtId="1" fontId="11" fillId="4" borderId="18" xfId="1" applyNumberFormat="1" applyFont="1" applyFill="1" applyBorder="1" applyAlignment="1" applyProtection="1">
      <alignment vertical="center"/>
    </xf>
    <xf numFmtId="2" fontId="16" fillId="3" borderId="5" xfId="0" applyNumberFormat="1" applyFont="1" applyFill="1" applyBorder="1" applyAlignment="1" applyProtection="1">
      <alignment horizontal="center"/>
    </xf>
    <xf numFmtId="1" fontId="16" fillId="3" borderId="26" xfId="0" applyNumberFormat="1" applyFont="1" applyFill="1" applyBorder="1" applyAlignment="1" applyProtection="1">
      <alignment horizontal="center"/>
    </xf>
    <xf numFmtId="166" fontId="16" fillId="3" borderId="5" xfId="0" applyNumberFormat="1" applyFont="1" applyFill="1" applyBorder="1" applyAlignment="1" applyProtection="1">
      <alignment horizontal="center"/>
    </xf>
    <xf numFmtId="0" fontId="16" fillId="2" borderId="15" xfId="0" applyFont="1" applyFill="1" applyBorder="1" applyProtection="1"/>
    <xf numFmtId="165" fontId="15" fillId="2" borderId="0" xfId="0" applyNumberFormat="1" applyFont="1" applyFill="1" applyBorder="1" applyProtection="1"/>
    <xf numFmtId="165" fontId="15" fillId="0" borderId="0" xfId="0" applyNumberFormat="1" applyFont="1" applyFill="1" applyBorder="1" applyProtection="1"/>
    <xf numFmtId="0" fontId="15" fillId="0" borderId="0" xfId="0" applyFont="1" applyFill="1" applyBorder="1" applyProtection="1"/>
    <xf numFmtId="0" fontId="15" fillId="2" borderId="0" xfId="2" applyFont="1" applyFill="1" applyBorder="1" applyProtection="1"/>
    <xf numFmtId="0" fontId="15" fillId="3" borderId="50" xfId="0" applyFont="1" applyFill="1" applyBorder="1" applyProtection="1"/>
    <xf numFmtId="0" fontId="15" fillId="2" borderId="18" xfId="0" applyFont="1" applyFill="1" applyBorder="1" applyProtection="1"/>
    <xf numFmtId="14" fontId="15" fillId="2" borderId="5" xfId="0" applyNumberFormat="1" applyFont="1" applyFill="1" applyBorder="1" applyProtection="1"/>
    <xf numFmtId="2" fontId="15" fillId="3" borderId="0" xfId="0" applyNumberFormat="1" applyFont="1" applyFill="1" applyAlignment="1" applyProtection="1">
      <alignment horizontal="center" vertical="center"/>
    </xf>
    <xf numFmtId="0" fontId="15" fillId="3" borderId="0" xfId="0" applyFont="1" applyFill="1" applyAlignment="1" applyProtection="1">
      <alignment horizontal="center" vertical="center"/>
    </xf>
    <xf numFmtId="2" fontId="15" fillId="3" borderId="0" xfId="0" applyNumberFormat="1" applyFont="1" applyFill="1" applyProtection="1"/>
    <xf numFmtId="0" fontId="35" fillId="3" borderId="0" xfId="0" applyFont="1" applyFill="1" applyAlignment="1" applyProtection="1">
      <alignment vertical="center"/>
    </xf>
    <xf numFmtId="0" fontId="10" fillId="3" borderId="55" xfId="0" applyFont="1" applyFill="1" applyBorder="1" applyAlignment="1" applyProtection="1">
      <alignment horizontal="center" vertical="center" textRotation="90"/>
    </xf>
    <xf numFmtId="0" fontId="10" fillId="3" borderId="0" xfId="0" applyFont="1" applyFill="1" applyBorder="1" applyAlignment="1" applyProtection="1">
      <alignment horizontal="center" vertical="center" textRotation="90"/>
    </xf>
    <xf numFmtId="0" fontId="15" fillId="2" borderId="15" xfId="0" applyFont="1" applyFill="1" applyBorder="1" applyAlignment="1" applyProtection="1">
      <alignment horizontal="center"/>
    </xf>
    <xf numFmtId="0" fontId="15" fillId="2" borderId="0" xfId="0" applyFont="1" applyFill="1" applyBorder="1" applyAlignment="1" applyProtection="1">
      <alignment horizontal="center"/>
    </xf>
    <xf numFmtId="0" fontId="15" fillId="2" borderId="15" xfId="0" applyFont="1" applyFill="1" applyBorder="1" applyProtection="1"/>
    <xf numFmtId="0" fontId="16" fillId="2" borderId="15" xfId="0" applyFont="1" applyFill="1" applyBorder="1" applyAlignment="1" applyProtection="1">
      <alignment horizontal="center"/>
    </xf>
    <xf numFmtId="0" fontId="15" fillId="3" borderId="56" xfId="0" applyFont="1" applyFill="1" applyBorder="1" applyProtection="1"/>
    <xf numFmtId="0" fontId="11" fillId="2" borderId="18" xfId="0" applyFont="1" applyFill="1" applyBorder="1" applyAlignment="1" applyProtection="1">
      <alignment horizontal="center" vertical="center"/>
    </xf>
    <xf numFmtId="0" fontId="16" fillId="2" borderId="0" xfId="0" applyFont="1" applyFill="1" applyBorder="1" applyAlignment="1" applyProtection="1">
      <alignment horizontal="left"/>
    </xf>
    <xf numFmtId="0" fontId="15" fillId="2" borderId="15" xfId="0" applyFont="1" applyFill="1" applyBorder="1" applyAlignment="1" applyProtection="1">
      <alignment horizontal="left"/>
    </xf>
    <xf numFmtId="1" fontId="15" fillId="3" borderId="0" xfId="0" applyNumberFormat="1" applyFont="1" applyFill="1" applyAlignment="1" applyProtection="1">
      <alignment horizontal="center"/>
    </xf>
    <xf numFmtId="1" fontId="15" fillId="3" borderId="0" xfId="0" applyNumberFormat="1" applyFont="1" applyFill="1" applyBorder="1" applyProtection="1"/>
    <xf numFmtId="165" fontId="16" fillId="3" borderId="0" xfId="1" applyNumberFormat="1" applyFont="1" applyFill="1" applyBorder="1" applyAlignment="1" applyProtection="1">
      <alignment horizontal="center"/>
    </xf>
    <xf numFmtId="9" fontId="16" fillId="3" borderId="0" xfId="1" applyFont="1" applyFill="1" applyBorder="1" applyAlignment="1" applyProtection="1">
      <alignment horizontal="center"/>
    </xf>
    <xf numFmtId="0" fontId="34" fillId="3" borderId="0" xfId="0" applyFont="1" applyFill="1" applyProtection="1"/>
    <xf numFmtId="0" fontId="16" fillId="2" borderId="0" xfId="0" applyFont="1" applyFill="1" applyAlignment="1" applyProtection="1">
      <alignment horizontal="center"/>
    </xf>
    <xf numFmtId="0" fontId="16" fillId="0" borderId="0" xfId="0" applyFont="1" applyFill="1" applyAlignment="1" applyProtection="1">
      <alignment horizontal="center"/>
    </xf>
    <xf numFmtId="0" fontId="16" fillId="2" borderId="18" xfId="0" applyFont="1" applyFill="1" applyBorder="1" applyAlignment="1" applyProtection="1">
      <alignment horizontal="center"/>
    </xf>
    <xf numFmtId="0" fontId="18" fillId="3" borderId="0" xfId="0" applyFont="1" applyFill="1" applyProtection="1"/>
    <xf numFmtId="0" fontId="19" fillId="3" borderId="0" xfId="0" applyFont="1" applyFill="1" applyAlignment="1" applyProtection="1">
      <alignment horizontal="center"/>
    </xf>
    <xf numFmtId="0" fontId="20" fillId="3" borderId="0" xfId="0" applyFont="1" applyFill="1" applyAlignment="1" applyProtection="1">
      <alignment horizontal="center"/>
    </xf>
    <xf numFmtId="0" fontId="21" fillId="2" borderId="0" xfId="0" applyFont="1" applyFill="1" applyAlignment="1" applyProtection="1">
      <alignment horizontal="center"/>
    </xf>
    <xf numFmtId="14" fontId="16" fillId="3" borderId="5" xfId="0" applyNumberFormat="1" applyFont="1" applyFill="1" applyBorder="1" applyAlignment="1" applyProtection="1">
      <alignment horizontal="center"/>
    </xf>
    <xf numFmtId="0" fontId="17" fillId="2" borderId="0" xfId="0" applyFont="1" applyFill="1" applyBorder="1" applyAlignment="1" applyProtection="1">
      <alignment horizontal="center"/>
    </xf>
    <xf numFmtId="166" fontId="16" fillId="3" borderId="0" xfId="0" applyNumberFormat="1" applyFont="1" applyFill="1" applyAlignment="1" applyProtection="1">
      <alignment horizontal="center"/>
    </xf>
    <xf numFmtId="0" fontId="18" fillId="2" borderId="0" xfId="0" applyFont="1" applyFill="1" applyBorder="1" applyAlignment="1" applyProtection="1"/>
    <xf numFmtId="0" fontId="22" fillId="2" borderId="0" xfId="0" applyFont="1" applyFill="1" applyBorder="1" applyAlignment="1" applyProtection="1"/>
    <xf numFmtId="165" fontId="15" fillId="3" borderId="0" xfId="0" applyNumberFormat="1" applyFont="1" applyFill="1" applyProtection="1"/>
    <xf numFmtId="167" fontId="11" fillId="7" borderId="17" xfId="0" applyNumberFormat="1" applyFont="1" applyFill="1" applyBorder="1" applyAlignment="1" applyProtection="1">
      <alignment horizontal="center" vertical="center"/>
      <protection locked="0"/>
    </xf>
    <xf numFmtId="165" fontId="11" fillId="3" borderId="17" xfId="0" applyNumberFormat="1" applyFont="1" applyFill="1" applyBorder="1" applyAlignment="1" applyProtection="1">
      <alignment horizontal="center" vertical="center"/>
      <protection locked="0"/>
    </xf>
    <xf numFmtId="165" fontId="16" fillId="3" borderId="0" xfId="0" applyNumberFormat="1" applyFont="1" applyFill="1" applyProtection="1"/>
    <xf numFmtId="0" fontId="15" fillId="2" borderId="0" xfId="2" applyFont="1" applyFill="1" applyBorder="1" applyAlignment="1" applyProtection="1">
      <alignment horizontal="center"/>
    </xf>
    <xf numFmtId="0" fontId="11" fillId="3" borderId="13" xfId="0" applyFont="1" applyFill="1" applyBorder="1" applyAlignment="1" applyProtection="1">
      <alignment horizontal="center"/>
    </xf>
    <xf numFmtId="0" fontId="11" fillId="2" borderId="14" xfId="0" applyFont="1" applyFill="1" applyBorder="1" applyAlignment="1" applyProtection="1">
      <alignment vertical="center"/>
    </xf>
    <xf numFmtId="0" fontId="11" fillId="2" borderId="13" xfId="0" applyFont="1" applyFill="1" applyBorder="1" applyAlignment="1" applyProtection="1">
      <alignment vertical="center"/>
    </xf>
    <xf numFmtId="0" fontId="11" fillId="3" borderId="14" xfId="0" applyFont="1" applyFill="1" applyBorder="1" applyAlignment="1" applyProtection="1">
      <alignment horizontal="center" vertical="center"/>
    </xf>
    <xf numFmtId="0" fontId="8" fillId="2" borderId="15" xfId="0" applyFont="1" applyFill="1" applyBorder="1" applyAlignment="1" applyProtection="1">
      <alignment horizontal="left" vertical="center"/>
    </xf>
    <xf numFmtId="0" fontId="11" fillId="2" borderId="24" xfId="0" applyFont="1" applyFill="1" applyBorder="1" applyProtection="1"/>
    <xf numFmtId="0" fontId="15" fillId="3" borderId="19" xfId="0" applyFont="1" applyFill="1" applyBorder="1" applyProtection="1"/>
    <xf numFmtId="0" fontId="23" fillId="3" borderId="19" xfId="0" applyFont="1" applyFill="1" applyBorder="1" applyProtection="1"/>
    <xf numFmtId="0" fontId="15" fillId="3" borderId="0" xfId="0" applyFont="1" applyFill="1" applyBorder="1" applyProtection="1"/>
    <xf numFmtId="0" fontId="11" fillId="2" borderId="0" xfId="0" applyFont="1" applyFill="1" applyBorder="1" applyAlignment="1" applyProtection="1">
      <alignment vertical="center"/>
    </xf>
    <xf numFmtId="0" fontId="11" fillId="3" borderId="15" xfId="0" applyFont="1" applyFill="1" applyBorder="1" applyAlignment="1" applyProtection="1">
      <alignment horizontal="center"/>
    </xf>
    <xf numFmtId="0" fontId="8" fillId="2" borderId="0" xfId="0" applyFont="1" applyFill="1" applyBorder="1" applyAlignment="1" applyProtection="1">
      <alignment horizontal="left" vertical="center"/>
    </xf>
    <xf numFmtId="0" fontId="11" fillId="3" borderId="0" xfId="0" applyFont="1" applyFill="1" applyBorder="1" applyAlignment="1" applyProtection="1">
      <alignment horizontal="center"/>
    </xf>
    <xf numFmtId="0" fontId="11" fillId="2" borderId="19" xfId="0" applyFont="1" applyFill="1" applyBorder="1" applyProtection="1"/>
    <xf numFmtId="0" fontId="8" fillId="2" borderId="19" xfId="0" applyFont="1" applyFill="1" applyBorder="1" applyProtection="1"/>
    <xf numFmtId="0" fontId="11" fillId="3" borderId="0" xfId="0" applyFont="1" applyFill="1" applyBorder="1" applyAlignment="1" applyProtection="1">
      <alignment horizontal="center" vertical="center"/>
    </xf>
    <xf numFmtId="0" fontId="15" fillId="3" borderId="0" xfId="0" applyFont="1" applyFill="1" applyBorder="1" applyAlignment="1" applyProtection="1">
      <alignment vertical="center"/>
    </xf>
    <xf numFmtId="165" fontId="11" fillId="2" borderId="0" xfId="0" applyNumberFormat="1" applyFont="1" applyFill="1" applyBorder="1" applyProtection="1"/>
    <xf numFmtId="165" fontId="15" fillId="2" borderId="0" xfId="0" applyNumberFormat="1" applyFont="1" applyFill="1" applyBorder="1" applyAlignment="1" applyProtection="1"/>
    <xf numFmtId="165" fontId="11" fillId="2" borderId="0" xfId="0" applyNumberFormat="1" applyFont="1" applyFill="1" applyBorder="1" applyAlignment="1" applyProtection="1"/>
    <xf numFmtId="165" fontId="15" fillId="2" borderId="0" xfId="0" applyNumberFormat="1" applyFont="1" applyFill="1" applyBorder="1" applyAlignment="1" applyProtection="1">
      <alignment vertical="center"/>
    </xf>
    <xf numFmtId="165" fontId="14" fillId="2" borderId="15" xfId="0" applyNumberFormat="1" applyFont="1" applyFill="1" applyBorder="1" applyAlignment="1" applyProtection="1">
      <alignment horizontal="center" vertical="center" wrapText="1"/>
    </xf>
    <xf numFmtId="165" fontId="15" fillId="0" borderId="0" xfId="2" applyNumberFormat="1" applyFont="1" applyFill="1" applyBorder="1" applyProtection="1"/>
    <xf numFmtId="165" fontId="15" fillId="0" borderId="0" xfId="0" applyNumberFormat="1" applyFont="1" applyFill="1" applyBorder="1" applyAlignment="1" applyProtection="1">
      <alignment horizontal="center"/>
    </xf>
    <xf numFmtId="165" fontId="15" fillId="0" borderId="0" xfId="0" applyNumberFormat="1" applyFont="1" applyFill="1" applyProtection="1"/>
    <xf numFmtId="165" fontId="16" fillId="0" borderId="0" xfId="0" applyNumberFormat="1" applyFont="1" applyFill="1" applyAlignment="1" applyProtection="1">
      <alignment horizontal="center"/>
    </xf>
    <xf numFmtId="165" fontId="15" fillId="2" borderId="69" xfId="1" applyNumberFormat="1" applyFont="1" applyFill="1" applyBorder="1" applyAlignment="1" applyProtection="1">
      <alignment horizontal="center"/>
    </xf>
    <xf numFmtId="165" fontId="15" fillId="2" borderId="68" xfId="1" applyNumberFormat="1" applyFont="1" applyFill="1" applyBorder="1" applyAlignment="1" applyProtection="1">
      <alignment horizontal="center"/>
    </xf>
    <xf numFmtId="0" fontId="10" fillId="2" borderId="0" xfId="0" applyFont="1" applyFill="1" applyBorder="1" applyAlignment="1" applyProtection="1">
      <alignment vertical="center"/>
    </xf>
    <xf numFmtId="0" fontId="12" fillId="2" borderId="67" xfId="0" applyFont="1" applyFill="1" applyBorder="1" applyAlignment="1" applyProtection="1">
      <alignment horizontal="center" vertical="center" wrapText="1"/>
    </xf>
    <xf numFmtId="0" fontId="12" fillId="2" borderId="66" xfId="0" applyFont="1" applyFill="1" applyBorder="1" applyAlignment="1" applyProtection="1">
      <alignment horizontal="center" vertical="center" wrapText="1"/>
    </xf>
    <xf numFmtId="0" fontId="8" fillId="8" borderId="5" xfId="0" applyFont="1" applyFill="1" applyBorder="1" applyAlignment="1" applyProtection="1">
      <alignment horizontal="center" vertical="center"/>
    </xf>
    <xf numFmtId="2" fontId="16" fillId="3" borderId="0" xfId="0" applyNumberFormat="1" applyFont="1" applyFill="1" applyBorder="1" applyProtection="1"/>
    <xf numFmtId="0" fontId="15" fillId="3" borderId="9" xfId="0" applyFont="1" applyFill="1" applyBorder="1" applyProtection="1"/>
    <xf numFmtId="0" fontId="15" fillId="3" borderId="49" xfId="0" applyFont="1" applyFill="1" applyBorder="1" applyProtection="1"/>
    <xf numFmtId="0" fontId="15" fillId="3" borderId="8" xfId="0" applyFont="1" applyFill="1" applyBorder="1" applyProtection="1"/>
    <xf numFmtId="0" fontId="15" fillId="3" borderId="60" xfId="0" applyFont="1" applyFill="1" applyBorder="1" applyAlignment="1" applyProtection="1">
      <alignment vertical="center"/>
    </xf>
    <xf numFmtId="0" fontId="15" fillId="3" borderId="61" xfId="0" applyFont="1" applyFill="1" applyBorder="1" applyAlignment="1" applyProtection="1">
      <alignment vertical="center"/>
    </xf>
    <xf numFmtId="1" fontId="0" fillId="0" borderId="0" xfId="0" applyNumberFormat="1"/>
    <xf numFmtId="0" fontId="4" fillId="0" borderId="0" xfId="61"/>
    <xf numFmtId="0" fontId="38" fillId="0" borderId="70" xfId="61" applyFont="1" applyBorder="1" applyAlignment="1">
      <alignment horizontal="center" vertical="center" wrapText="1"/>
    </xf>
    <xf numFmtId="0" fontId="38" fillId="0" borderId="0" xfId="61" applyFont="1" applyBorder="1" applyAlignment="1">
      <alignment horizontal="center" vertical="center" wrapText="1"/>
    </xf>
    <xf numFmtId="165" fontId="7" fillId="11" borderId="5" xfId="61" applyNumberFormat="1" applyFont="1" applyFill="1" applyBorder="1" applyAlignment="1" applyProtection="1">
      <alignment horizontal="center" vertical="center"/>
      <protection locked="0"/>
    </xf>
    <xf numFmtId="0" fontId="38" fillId="10" borderId="71" xfId="61" applyFont="1" applyFill="1" applyBorder="1" applyAlignment="1">
      <alignment horizontal="center" vertical="center" wrapText="1"/>
    </xf>
    <xf numFmtId="0" fontId="38" fillId="10" borderId="72" xfId="61" applyFont="1" applyFill="1" applyBorder="1" applyAlignment="1">
      <alignment horizontal="center" vertical="center" wrapText="1"/>
    </xf>
    <xf numFmtId="0" fontId="38" fillId="10" borderId="73" xfId="61" applyFont="1" applyFill="1" applyBorder="1" applyAlignment="1">
      <alignment horizontal="center" vertical="center" wrapText="1"/>
    </xf>
    <xf numFmtId="165" fontId="7" fillId="11" borderId="31" xfId="61" applyNumberFormat="1" applyFont="1" applyFill="1" applyBorder="1" applyAlignment="1" applyProtection="1">
      <alignment horizontal="center" vertical="center"/>
      <protection locked="0"/>
    </xf>
    <xf numFmtId="0" fontId="6" fillId="0" borderId="0" xfId="61" applyFont="1" applyAlignment="1">
      <alignment horizontal="center"/>
    </xf>
    <xf numFmtId="0" fontId="6" fillId="9" borderId="0" xfId="61" applyFont="1" applyFill="1" applyAlignment="1">
      <alignment horizontal="center"/>
    </xf>
    <xf numFmtId="165" fontId="7" fillId="11" borderId="31" xfId="61" applyNumberFormat="1" applyFont="1" applyFill="1" applyBorder="1" applyAlignment="1" applyProtection="1">
      <alignment horizontal="center" vertical="center"/>
      <protection locked="0"/>
    </xf>
    <xf numFmtId="0" fontId="6" fillId="0" borderId="0" xfId="61" applyFont="1"/>
    <xf numFmtId="0" fontId="6" fillId="0" borderId="0" xfId="61" applyFont="1" applyAlignment="1">
      <alignment horizontal="center"/>
    </xf>
    <xf numFmtId="0" fontId="38" fillId="0" borderId="0" xfId="61" applyFont="1" applyAlignment="1">
      <alignment horizontal="center" vertical="center" wrapText="1"/>
    </xf>
    <xf numFmtId="0" fontId="6" fillId="0" borderId="0" xfId="61" applyFont="1" applyAlignment="1">
      <alignment horizontal="center"/>
    </xf>
    <xf numFmtId="0" fontId="38" fillId="0" borderId="74" xfId="61" applyFont="1" applyBorder="1" applyAlignment="1">
      <alignment horizontal="center" vertical="center" wrapText="1"/>
    </xf>
    <xf numFmtId="0" fontId="38" fillId="10" borderId="74" xfId="61" applyFont="1" applyFill="1" applyBorder="1" applyAlignment="1">
      <alignment horizontal="center" vertical="center" wrapText="1"/>
    </xf>
    <xf numFmtId="0" fontId="38" fillId="10" borderId="74" xfId="61" applyFont="1" applyFill="1" applyBorder="1" applyAlignment="1">
      <alignment vertical="center" wrapText="1"/>
    </xf>
    <xf numFmtId="0" fontId="0" fillId="0" borderId="5" xfId="0" applyBorder="1" applyAlignment="1">
      <alignment horizontal="center"/>
    </xf>
    <xf numFmtId="1" fontId="0" fillId="0" borderId="5" xfId="0" applyNumberFormat="1" applyBorder="1" applyAlignment="1">
      <alignment horizontal="center"/>
    </xf>
    <xf numFmtId="2" fontId="5" fillId="10" borderId="5" xfId="61" applyNumberFormat="1" applyFont="1" applyFill="1" applyBorder="1" applyAlignment="1">
      <alignment horizontal="center"/>
    </xf>
    <xf numFmtId="168" fontId="5" fillId="10" borderId="5" xfId="61" applyNumberFormat="1" applyFont="1" applyFill="1" applyBorder="1" applyAlignment="1">
      <alignment horizontal="center"/>
    </xf>
    <xf numFmtId="165" fontId="5" fillId="10" borderId="5" xfId="61" applyNumberFormat="1" applyFont="1" applyFill="1" applyBorder="1" applyAlignment="1">
      <alignment horizontal="center"/>
    </xf>
    <xf numFmtId="0" fontId="38" fillId="10" borderId="2" xfId="61" applyFont="1" applyFill="1" applyBorder="1" applyAlignment="1">
      <alignment vertical="center" wrapText="1"/>
    </xf>
    <xf numFmtId="165" fontId="39" fillId="12" borderId="0" xfId="61" applyNumberFormat="1" applyFont="1" applyFill="1" applyAlignment="1">
      <alignment horizontal="center"/>
    </xf>
    <xf numFmtId="0" fontId="38" fillId="0" borderId="73" xfId="61" applyFont="1" applyBorder="1" applyAlignment="1">
      <alignment horizontal="center" vertical="center" wrapText="1"/>
    </xf>
    <xf numFmtId="165" fontId="5" fillId="10" borderId="8" xfId="61" applyNumberFormat="1" applyFont="1" applyFill="1" applyBorder="1" applyAlignment="1">
      <alignment horizontal="center"/>
    </xf>
    <xf numFmtId="0" fontId="38" fillId="10" borderId="3" xfId="61" applyFont="1" applyFill="1" applyBorder="1" applyAlignment="1">
      <alignment horizontal="center" vertical="center" wrapText="1"/>
    </xf>
    <xf numFmtId="0" fontId="38" fillId="10" borderId="5" xfId="61" applyFont="1" applyFill="1" applyBorder="1" applyAlignment="1">
      <alignment vertical="center" wrapText="1"/>
    </xf>
    <xf numFmtId="0" fontId="12" fillId="3" borderId="23" xfId="0" applyFont="1" applyFill="1" applyBorder="1" applyAlignment="1" applyProtection="1">
      <alignment vertical="center"/>
    </xf>
    <xf numFmtId="0" fontId="6" fillId="9" borderId="0" xfId="61" applyFont="1" applyFill="1" applyAlignment="1">
      <alignment horizontal="center"/>
    </xf>
    <xf numFmtId="0" fontId="11" fillId="3" borderId="57" xfId="0" applyFont="1" applyFill="1" applyBorder="1" applyAlignment="1" applyProtection="1"/>
    <xf numFmtId="0" fontId="11" fillId="3" borderId="51" xfId="0" applyFont="1" applyFill="1" applyBorder="1" applyAlignment="1" applyProtection="1"/>
    <xf numFmtId="0" fontId="11" fillId="3" borderId="47" xfId="0" applyFont="1" applyFill="1" applyBorder="1" applyAlignment="1" applyProtection="1">
      <alignment horizontal="left"/>
    </xf>
    <xf numFmtId="0" fontId="25" fillId="2" borderId="23" xfId="0" applyFont="1" applyFill="1" applyBorder="1" applyAlignment="1" applyProtection="1">
      <alignment vertical="center"/>
    </xf>
    <xf numFmtId="0" fontId="25" fillId="2" borderId="58" xfId="0" applyFont="1" applyFill="1" applyBorder="1" applyAlignment="1" applyProtection="1">
      <alignment vertical="center"/>
    </xf>
    <xf numFmtId="0" fontId="15" fillId="3" borderId="48" xfId="0" applyFont="1" applyFill="1" applyBorder="1" applyProtection="1"/>
    <xf numFmtId="0" fontId="15" fillId="3" borderId="59" xfId="0" applyFont="1" applyFill="1" applyBorder="1" applyProtection="1"/>
    <xf numFmtId="0" fontId="12" fillId="3" borderId="8" xfId="0" applyFont="1" applyFill="1" applyBorder="1" applyProtection="1"/>
    <xf numFmtId="0" fontId="5" fillId="0" borderId="0" xfId="0" applyFont="1"/>
    <xf numFmtId="165" fontId="11" fillId="8" borderId="31" xfId="61" applyNumberFormat="1" applyFont="1" applyFill="1" applyBorder="1" applyAlignment="1" applyProtection="1">
      <alignment horizontal="center" vertical="center"/>
      <protection locked="0"/>
    </xf>
    <xf numFmtId="165" fontId="11" fillId="8" borderId="18" xfId="0" applyNumberFormat="1" applyFont="1" applyFill="1" applyBorder="1" applyAlignment="1" applyProtection="1">
      <alignment horizontal="center" vertical="center"/>
      <protection locked="0"/>
    </xf>
    <xf numFmtId="1" fontId="11" fillId="8" borderId="18" xfId="0" applyNumberFormat="1" applyFont="1" applyFill="1" applyBorder="1" applyAlignment="1" applyProtection="1">
      <alignment horizontal="center" vertical="center"/>
      <protection locked="0"/>
    </xf>
    <xf numFmtId="0" fontId="42" fillId="13" borderId="0" xfId="0" applyFont="1" applyFill="1" applyAlignment="1" applyProtection="1">
      <alignment vertical="center"/>
    </xf>
    <xf numFmtId="0" fontId="11" fillId="3" borderId="31" xfId="0" applyFont="1" applyFill="1" applyBorder="1" applyAlignment="1" applyProtection="1">
      <alignment vertical="center"/>
    </xf>
    <xf numFmtId="2" fontId="11" fillId="3" borderId="0" xfId="0" applyNumberFormat="1" applyFont="1" applyFill="1" applyAlignment="1" applyProtection="1">
      <alignment horizontal="center"/>
    </xf>
    <xf numFmtId="0" fontId="11" fillId="3" borderId="38" xfId="0" applyFont="1" applyFill="1" applyBorder="1" applyAlignment="1" applyProtection="1">
      <alignment horizontal="center" vertical="center" wrapText="1"/>
    </xf>
    <xf numFmtId="0" fontId="38" fillId="0" borderId="73" xfId="61" applyFont="1" applyBorder="1" applyAlignment="1">
      <alignment horizontal="center" vertical="center" wrapText="1"/>
    </xf>
    <xf numFmtId="0" fontId="15" fillId="3" borderId="0" xfId="0" applyFont="1" applyFill="1" applyAlignment="1" applyProtection="1">
      <alignment wrapText="1"/>
    </xf>
    <xf numFmtId="0" fontId="11" fillId="3" borderId="5" xfId="0" applyFont="1" applyFill="1" applyBorder="1" applyAlignment="1" applyProtection="1">
      <alignment horizontal="center" vertical="center" wrapText="1"/>
    </xf>
    <xf numFmtId="0" fontId="15" fillId="2" borderId="0" xfId="0" applyFont="1" applyFill="1" applyAlignment="1" applyProtection="1">
      <alignment wrapText="1"/>
    </xf>
    <xf numFmtId="0" fontId="15" fillId="0" borderId="0" xfId="0" applyFont="1" applyFill="1" applyAlignment="1" applyProtection="1">
      <alignment wrapText="1"/>
    </xf>
    <xf numFmtId="165" fontId="15" fillId="0" borderId="0" xfId="0" applyNumberFormat="1" applyFont="1" applyFill="1" applyAlignment="1" applyProtection="1">
      <alignment wrapText="1"/>
    </xf>
    <xf numFmtId="0" fontId="15" fillId="3" borderId="18" xfId="0" applyFont="1" applyFill="1" applyBorder="1" applyAlignment="1" applyProtection="1">
      <alignment wrapText="1"/>
    </xf>
    <xf numFmtId="14" fontId="15" fillId="3" borderId="5" xfId="0" applyNumberFormat="1" applyFont="1" applyFill="1" applyBorder="1" applyAlignment="1" applyProtection="1">
      <alignment wrapText="1"/>
    </xf>
    <xf numFmtId="0" fontId="16" fillId="3" borderId="0" xfId="0" applyFont="1" applyFill="1" applyAlignment="1" applyProtection="1">
      <alignment wrapText="1"/>
    </xf>
    <xf numFmtId="0" fontId="15" fillId="3" borderId="0" xfId="0" applyFont="1" applyFill="1" applyAlignment="1" applyProtection="1">
      <alignment horizontal="center" wrapText="1"/>
    </xf>
    <xf numFmtId="0" fontId="16" fillId="3" borderId="0" xfId="0" applyFont="1" applyFill="1" applyAlignment="1" applyProtection="1">
      <alignment horizontal="center" wrapText="1"/>
    </xf>
    <xf numFmtId="0" fontId="16" fillId="3" borderId="0" xfId="0" applyFont="1" applyFill="1" applyBorder="1" applyAlignment="1" applyProtection="1">
      <alignment wrapText="1"/>
    </xf>
    <xf numFmtId="166" fontId="16" fillId="3" borderId="75" xfId="0" applyNumberFormat="1" applyFont="1" applyFill="1" applyBorder="1" applyAlignment="1" applyProtection="1">
      <alignment horizontal="center"/>
    </xf>
    <xf numFmtId="166" fontId="16" fillId="3" borderId="55" xfId="0" applyNumberFormat="1" applyFont="1" applyFill="1" applyBorder="1" applyAlignment="1" applyProtection="1">
      <alignment horizontal="center"/>
    </xf>
    <xf numFmtId="0" fontId="32" fillId="3" borderId="46" xfId="0" applyFont="1" applyFill="1" applyBorder="1" applyAlignment="1" applyProtection="1">
      <alignment vertical="center"/>
    </xf>
    <xf numFmtId="0" fontId="11" fillId="3" borderId="0" xfId="0" applyFont="1" applyFill="1" applyBorder="1" applyAlignment="1" applyProtection="1">
      <alignment vertical="center"/>
    </xf>
    <xf numFmtId="165" fontId="11" fillId="5" borderId="18" xfId="0" applyNumberFormat="1" applyFont="1" applyFill="1" applyBorder="1" applyAlignment="1" applyProtection="1">
      <alignment horizontal="center" vertical="center"/>
    </xf>
    <xf numFmtId="167" fontId="11" fillId="8" borderId="17" xfId="0" applyNumberFormat="1" applyFont="1" applyFill="1" applyBorder="1" applyAlignment="1" applyProtection="1">
      <alignment horizontal="center" vertical="center"/>
      <protection locked="0"/>
    </xf>
    <xf numFmtId="0" fontId="13" fillId="2" borderId="14" xfId="0" applyFont="1" applyFill="1" applyBorder="1" applyAlignment="1" applyProtection="1">
      <alignment horizontal="center"/>
    </xf>
    <xf numFmtId="0" fontId="13" fillId="3" borderId="14" xfId="0" applyFont="1" applyFill="1" applyBorder="1" applyAlignment="1" applyProtection="1">
      <alignment horizontal="center"/>
    </xf>
    <xf numFmtId="0" fontId="13" fillId="2" borderId="21" xfId="0" applyFont="1" applyFill="1" applyBorder="1" applyAlignment="1" applyProtection="1">
      <alignment horizontal="center"/>
    </xf>
    <xf numFmtId="0" fontId="11" fillId="2" borderId="15" xfId="0" applyFont="1" applyFill="1" applyBorder="1" applyAlignment="1" applyProtection="1">
      <alignment horizontal="left" vertical="center"/>
    </xf>
    <xf numFmtId="0" fontId="11" fillId="3" borderId="15" xfId="0" applyFont="1" applyFill="1" applyBorder="1" applyAlignment="1" applyProtection="1">
      <alignment horizontal="left" vertical="center"/>
    </xf>
    <xf numFmtId="0" fontId="11" fillId="3" borderId="0" xfId="0" applyFont="1" applyFill="1" applyBorder="1" applyAlignment="1" applyProtection="1">
      <alignment horizontal="left" vertical="center"/>
    </xf>
    <xf numFmtId="0" fontId="11" fillId="3" borderId="24" xfId="0" applyFont="1" applyFill="1" applyBorder="1" applyAlignment="1" applyProtection="1">
      <alignment horizontal="left" vertical="center"/>
    </xf>
    <xf numFmtId="0" fontId="27" fillId="2" borderId="62" xfId="0" applyFont="1" applyFill="1" applyBorder="1" applyAlignment="1" applyProtection="1">
      <alignment horizontal="center" vertical="center"/>
      <protection locked="0"/>
    </xf>
    <xf numFmtId="0" fontId="11" fillId="3" borderId="19" xfId="0" applyFont="1" applyFill="1" applyBorder="1" applyAlignment="1" applyProtection="1">
      <alignment horizontal="left" vertical="center"/>
    </xf>
    <xf numFmtId="0" fontId="27" fillId="2" borderId="63" xfId="0" applyFont="1" applyFill="1" applyBorder="1" applyAlignment="1" applyProtection="1">
      <alignment horizontal="center" vertical="center"/>
      <protection locked="0"/>
    </xf>
    <xf numFmtId="0" fontId="8" fillId="2" borderId="55" xfId="0" applyFont="1" applyFill="1" applyBorder="1" applyAlignment="1" applyProtection="1">
      <alignment horizontal="center" vertical="center" wrapText="1"/>
    </xf>
    <xf numFmtId="0" fontId="12" fillId="2" borderId="31" xfId="0" applyFont="1" applyFill="1" applyBorder="1" applyAlignment="1" applyProtection="1">
      <alignment horizontal="center" vertical="center" wrapText="1"/>
    </xf>
    <xf numFmtId="0" fontId="12" fillId="2" borderId="55" xfId="0" applyFont="1" applyFill="1" applyBorder="1" applyAlignment="1" applyProtection="1">
      <alignment horizontal="center" vertical="center" wrapText="1"/>
    </xf>
    <xf numFmtId="0" fontId="7" fillId="2" borderId="55" xfId="0" applyFont="1" applyFill="1" applyBorder="1" applyAlignment="1" applyProtection="1">
      <alignment horizontal="center" vertical="center" wrapText="1"/>
    </xf>
    <xf numFmtId="0" fontId="14" fillId="0" borderId="75" xfId="0" applyFont="1" applyFill="1" applyBorder="1" applyAlignment="1" applyProtection="1">
      <alignment horizontal="center" vertical="center" wrapText="1"/>
    </xf>
    <xf numFmtId="0" fontId="14" fillId="2" borderId="75" xfId="0" applyFont="1" applyFill="1" applyBorder="1" applyAlignment="1" applyProtection="1">
      <alignment horizontal="center" vertical="center" wrapText="1"/>
    </xf>
    <xf numFmtId="0" fontId="14" fillId="2" borderId="55" xfId="0" applyFont="1" applyFill="1" applyBorder="1" applyAlignment="1" applyProtection="1">
      <alignment horizontal="center" vertical="center" wrapText="1"/>
    </xf>
    <xf numFmtId="0" fontId="27" fillId="2" borderId="76" xfId="0" applyFont="1" applyFill="1" applyBorder="1" applyAlignment="1" applyProtection="1">
      <alignment horizontal="center" vertical="center"/>
      <protection locked="0"/>
    </xf>
    <xf numFmtId="1" fontId="40" fillId="8" borderId="5" xfId="61" applyNumberFormat="1" applyFont="1" applyFill="1" applyBorder="1" applyAlignment="1" applyProtection="1">
      <alignment horizontal="center"/>
      <protection locked="0"/>
    </xf>
    <xf numFmtId="166" fontId="15" fillId="0" borderId="0" xfId="0" applyNumberFormat="1" applyFont="1" applyFill="1" applyProtection="1"/>
    <xf numFmtId="2" fontId="15" fillId="2" borderId="0" xfId="0" applyNumberFormat="1" applyFont="1" applyFill="1" applyBorder="1" applyProtection="1"/>
    <xf numFmtId="2" fontId="15" fillId="2" borderId="0" xfId="0" applyNumberFormat="1" applyFont="1" applyFill="1" applyBorder="1" applyAlignment="1" applyProtection="1">
      <alignment horizontal="center"/>
    </xf>
    <xf numFmtId="2" fontId="15" fillId="0" borderId="0" xfId="0" applyNumberFormat="1" applyFont="1" applyFill="1" applyProtection="1"/>
    <xf numFmtId="169" fontId="16" fillId="3" borderId="5" xfId="0" applyNumberFormat="1" applyFont="1" applyFill="1" applyBorder="1" applyAlignment="1" applyProtection="1">
      <alignment horizontal="center"/>
    </xf>
    <xf numFmtId="166" fontId="28" fillId="3" borderId="18" xfId="0" applyNumberFormat="1" applyFont="1" applyFill="1" applyBorder="1" applyAlignment="1" applyProtection="1">
      <alignment horizontal="center" vertical="center"/>
    </xf>
    <xf numFmtId="166" fontId="11" fillId="2" borderId="18" xfId="0" applyNumberFormat="1" applyFont="1" applyFill="1" applyBorder="1" applyAlignment="1" applyProtection="1">
      <alignment horizontal="center" vertical="center"/>
    </xf>
    <xf numFmtId="0" fontId="15" fillId="3" borderId="65" xfId="0" applyFont="1" applyFill="1" applyBorder="1" applyProtection="1"/>
    <xf numFmtId="0" fontId="23" fillId="3" borderId="50" xfId="0" applyFont="1" applyFill="1" applyBorder="1" applyProtection="1"/>
    <xf numFmtId="0" fontId="15" fillId="3" borderId="21" xfId="0" applyFont="1" applyFill="1" applyBorder="1" applyAlignment="1" applyProtection="1">
      <alignment vertical="center"/>
    </xf>
    <xf numFmtId="0" fontId="15" fillId="3" borderId="81" xfId="0" applyFont="1" applyFill="1" applyBorder="1" applyProtection="1"/>
    <xf numFmtId="0" fontId="23" fillId="3" borderId="25" xfId="0" applyFont="1" applyFill="1" applyBorder="1" applyProtection="1"/>
    <xf numFmtId="0" fontId="15" fillId="3" borderId="22" xfId="0" applyFont="1" applyFill="1" applyBorder="1" applyAlignment="1" applyProtection="1">
      <alignment vertical="center"/>
    </xf>
    <xf numFmtId="0" fontId="33" fillId="3" borderId="0" xfId="0" applyFont="1" applyFill="1" applyAlignment="1" applyProtection="1">
      <alignment horizontal="left"/>
    </xf>
    <xf numFmtId="0" fontId="33" fillId="3" borderId="0" xfId="0" applyFont="1" applyFill="1" applyAlignment="1" applyProtection="1">
      <alignment horizontal="center"/>
    </xf>
    <xf numFmtId="0" fontId="15" fillId="0" borderId="90" xfId="61" applyFont="1" applyBorder="1" applyAlignment="1">
      <alignment horizontal="center"/>
    </xf>
    <xf numFmtId="2" fontId="15" fillId="5" borderId="82" xfId="0" applyNumberFormat="1" applyFont="1" applyFill="1" applyBorder="1" applyAlignment="1" applyProtection="1">
      <alignment horizontal="center" vertical="center"/>
    </xf>
    <xf numFmtId="2" fontId="15" fillId="5" borderId="5" xfId="0" applyNumberFormat="1" applyFont="1" applyFill="1" applyBorder="1" applyAlignment="1" applyProtection="1">
      <alignment horizontal="center" vertical="center"/>
    </xf>
    <xf numFmtId="0" fontId="11" fillId="5" borderId="88" xfId="0" applyFont="1" applyFill="1" applyBorder="1" applyAlignment="1" applyProtection="1">
      <alignment horizontal="center"/>
    </xf>
    <xf numFmtId="2" fontId="15" fillId="5" borderId="82" xfId="0" applyNumberFormat="1" applyFont="1" applyFill="1" applyBorder="1" applyAlignment="1" applyProtection="1">
      <alignment horizontal="center"/>
    </xf>
    <xf numFmtId="0" fontId="11" fillId="3" borderId="87" xfId="0" applyFont="1" applyFill="1" applyBorder="1" applyAlignment="1" applyProtection="1">
      <alignment horizontal="center"/>
    </xf>
    <xf numFmtId="2" fontId="15" fillId="5" borderId="5" xfId="0" applyNumberFormat="1" applyFont="1" applyFill="1" applyBorder="1" applyAlignment="1" applyProtection="1">
      <alignment horizontal="center"/>
    </xf>
    <xf numFmtId="0" fontId="11" fillId="3" borderId="83" xfId="0" applyFont="1" applyFill="1" applyBorder="1" applyAlignment="1" applyProtection="1">
      <alignment horizontal="center"/>
    </xf>
    <xf numFmtId="1" fontId="15" fillId="3" borderId="85" xfId="0" applyNumberFormat="1" applyFont="1" applyFill="1" applyBorder="1" applyProtection="1">
      <protection locked="0"/>
    </xf>
    <xf numFmtId="1" fontId="10" fillId="0" borderId="105" xfId="0" applyNumberFormat="1" applyFont="1" applyFill="1" applyBorder="1" applyAlignment="1" applyProtection="1">
      <alignment horizontal="center" vertical="center"/>
      <protection locked="0"/>
    </xf>
    <xf numFmtId="1" fontId="15" fillId="3" borderId="85" xfId="0" applyNumberFormat="1" applyFont="1" applyFill="1" applyBorder="1" applyAlignment="1" applyProtection="1">
      <alignment horizontal="center"/>
      <protection locked="0"/>
    </xf>
    <xf numFmtId="1" fontId="15" fillId="0" borderId="86" xfId="0" applyNumberFormat="1" applyFont="1" applyFill="1" applyBorder="1" applyAlignment="1" applyProtection="1">
      <alignment horizontal="center" vertical="center"/>
      <protection locked="0"/>
    </xf>
    <xf numFmtId="167" fontId="11" fillId="8" borderId="105" xfId="0" applyNumberFormat="1" applyFont="1" applyFill="1" applyBorder="1" applyAlignment="1" applyProtection="1">
      <alignment horizontal="center" vertical="center"/>
      <protection locked="0"/>
    </xf>
    <xf numFmtId="0" fontId="11" fillId="5" borderId="88" xfId="0" applyFont="1" applyFill="1" applyBorder="1" applyAlignment="1" applyProtection="1">
      <alignment horizontal="center" vertical="center"/>
    </xf>
    <xf numFmtId="0" fontId="11" fillId="3" borderId="82" xfId="0" applyFont="1" applyFill="1" applyBorder="1" applyAlignment="1" applyProtection="1">
      <alignment horizontal="center"/>
    </xf>
    <xf numFmtId="0" fontId="11" fillId="3" borderId="87" xfId="0" applyFont="1" applyFill="1" applyBorder="1" applyAlignment="1" applyProtection="1">
      <alignment horizontal="center" vertical="center"/>
    </xf>
    <xf numFmtId="0" fontId="11" fillId="5" borderId="84" xfId="0" applyFont="1" applyFill="1" applyBorder="1" applyAlignment="1" applyProtection="1">
      <alignment horizontal="center" vertical="center"/>
    </xf>
    <xf numFmtId="0" fontId="11" fillId="3" borderId="83" xfId="0" applyFont="1" applyFill="1" applyBorder="1" applyAlignment="1" applyProtection="1">
      <alignment horizontal="center" vertical="center"/>
    </xf>
    <xf numFmtId="0" fontId="11" fillId="3" borderId="84" xfId="0" applyFont="1" applyFill="1" applyBorder="1" applyAlignment="1" applyProtection="1">
      <alignment horizontal="center" vertical="center"/>
    </xf>
    <xf numFmtId="0" fontId="11" fillId="3" borderId="83" xfId="0" applyFont="1" applyFill="1" applyBorder="1" applyAlignment="1" applyProtection="1">
      <alignment horizontal="center" vertical="center" wrapText="1"/>
    </xf>
    <xf numFmtId="0" fontId="11" fillId="5" borderId="82" xfId="0" applyFont="1" applyFill="1" applyBorder="1" applyAlignment="1" applyProtection="1">
      <alignment horizontal="center" vertical="center"/>
    </xf>
    <xf numFmtId="166" fontId="15" fillId="5" borderId="82" xfId="0" applyNumberFormat="1" applyFont="1" applyFill="1" applyBorder="1" applyAlignment="1" applyProtection="1">
      <alignment horizontal="center" vertical="center"/>
    </xf>
    <xf numFmtId="0" fontId="15" fillId="0" borderId="89" xfId="61" applyFont="1" applyBorder="1" applyAlignment="1">
      <alignment horizontal="center"/>
    </xf>
    <xf numFmtId="0" fontId="11" fillId="3" borderId="82" xfId="0" applyFont="1" applyFill="1" applyBorder="1" applyAlignment="1" applyProtection="1">
      <alignment horizontal="center" vertical="center"/>
    </xf>
    <xf numFmtId="0" fontId="11" fillId="5" borderId="5" xfId="0" applyFont="1" applyFill="1" applyBorder="1" applyAlignment="1" applyProtection="1">
      <alignment horizontal="center" vertical="center"/>
    </xf>
    <xf numFmtId="166" fontId="15" fillId="5" borderId="5" xfId="0" applyNumberFormat="1" applyFont="1" applyFill="1" applyBorder="1" applyAlignment="1" applyProtection="1">
      <alignment horizontal="center" vertical="center"/>
    </xf>
    <xf numFmtId="0" fontId="30" fillId="3" borderId="0" xfId="0" applyFont="1" applyFill="1" applyBorder="1" applyAlignment="1" applyProtection="1">
      <alignment vertical="center"/>
    </xf>
    <xf numFmtId="0" fontId="15" fillId="5" borderId="91" xfId="61" applyFont="1" applyFill="1" applyBorder="1" applyAlignment="1" applyProtection="1">
      <alignment horizontal="center"/>
      <protection locked="0"/>
    </xf>
    <xf numFmtId="0" fontId="15" fillId="5" borderId="89" xfId="61" applyFont="1" applyFill="1" applyBorder="1" applyAlignment="1" applyProtection="1">
      <alignment horizontal="center"/>
      <protection locked="0"/>
    </xf>
    <xf numFmtId="0" fontId="15" fillId="5" borderId="89" xfId="61" applyFont="1" applyFill="1" applyBorder="1" applyAlignment="1" applyProtection="1">
      <alignment horizontal="right"/>
      <protection locked="0"/>
    </xf>
    <xf numFmtId="165" fontId="11" fillId="2" borderId="18" xfId="2" applyNumberFormat="1" applyFont="1" applyFill="1" applyBorder="1" applyAlignment="1" applyProtection="1">
      <alignment horizontal="center" vertical="center"/>
      <protection locked="0"/>
    </xf>
    <xf numFmtId="0" fontId="11" fillId="3" borderId="17" xfId="2" applyFont="1" applyFill="1" applyBorder="1" applyAlignment="1" applyProtection="1">
      <alignment horizontal="center" vertical="center"/>
      <protection locked="0"/>
    </xf>
    <xf numFmtId="165" fontId="11" fillId="8" borderId="31" xfId="62" applyNumberFormat="1" applyFont="1" applyFill="1" applyBorder="1" applyAlignment="1" applyProtection="1">
      <alignment horizontal="center" vertical="center"/>
      <protection locked="0"/>
    </xf>
    <xf numFmtId="165" fontId="11" fillId="8" borderId="18" xfId="2" applyNumberFormat="1" applyFont="1" applyFill="1" applyBorder="1" applyAlignment="1" applyProtection="1">
      <alignment horizontal="center" vertical="center"/>
      <protection locked="0"/>
    </xf>
    <xf numFmtId="1" fontId="11" fillId="8" borderId="18" xfId="2" applyNumberFormat="1" applyFont="1" applyFill="1" applyBorder="1" applyAlignment="1" applyProtection="1">
      <alignment horizontal="center" vertical="center"/>
      <protection locked="0"/>
    </xf>
    <xf numFmtId="1" fontId="11" fillId="8" borderId="5" xfId="62" applyNumberFormat="1" applyFont="1" applyFill="1" applyBorder="1" applyAlignment="1" applyProtection="1">
      <alignment horizontal="center" vertical="center"/>
      <protection locked="0"/>
    </xf>
    <xf numFmtId="0" fontId="40" fillId="8" borderId="5" xfId="62" applyFont="1" applyFill="1" applyBorder="1" applyAlignment="1" applyProtection="1">
      <alignment horizontal="center"/>
      <protection locked="0"/>
    </xf>
    <xf numFmtId="167" fontId="11" fillId="8" borderId="17" xfId="2" applyNumberFormat="1" applyFont="1" applyFill="1" applyBorder="1" applyAlignment="1" applyProtection="1">
      <alignment horizontal="center" vertical="center"/>
      <protection locked="0"/>
    </xf>
    <xf numFmtId="0" fontId="15" fillId="5" borderId="91" xfId="61" applyFont="1" applyFill="1" applyBorder="1" applyAlignment="1" applyProtection="1">
      <alignment horizontal="right"/>
      <protection locked="0"/>
    </xf>
    <xf numFmtId="0" fontId="15" fillId="5" borderId="89" xfId="61" applyFont="1" applyFill="1" applyBorder="1" applyProtection="1">
      <protection locked="0"/>
    </xf>
    <xf numFmtId="0" fontId="15" fillId="5" borderId="91" xfId="61" applyFont="1" applyFill="1" applyBorder="1" applyProtection="1">
      <protection locked="0"/>
    </xf>
    <xf numFmtId="0" fontId="15" fillId="0" borderId="101" xfId="61" applyFont="1" applyBorder="1" applyAlignment="1">
      <alignment horizontal="center"/>
    </xf>
    <xf numFmtId="0" fontId="15" fillId="5" borderId="93" xfId="61" applyFont="1" applyFill="1" applyBorder="1" applyProtection="1">
      <protection locked="0"/>
    </xf>
    <xf numFmtId="0" fontId="15" fillId="0" borderId="93" xfId="61" applyFont="1" applyBorder="1" applyAlignment="1">
      <alignment horizontal="center"/>
    </xf>
    <xf numFmtId="0" fontId="15" fillId="5" borderId="94" xfId="61" applyFont="1" applyFill="1" applyBorder="1" applyProtection="1">
      <protection locked="0"/>
    </xf>
    <xf numFmtId="0" fontId="11" fillId="3" borderId="83" xfId="0" applyFont="1" applyFill="1" applyBorder="1" applyAlignment="1" applyProtection="1">
      <alignment horizontal="center" vertical="center"/>
    </xf>
    <xf numFmtId="0" fontId="11" fillId="3" borderId="5" xfId="0" applyFont="1" applyFill="1" applyBorder="1" applyAlignment="1" applyProtection="1">
      <alignment horizontal="center" vertical="center"/>
    </xf>
    <xf numFmtId="0" fontId="11" fillId="3" borderId="23" xfId="0" applyFont="1" applyFill="1" applyBorder="1" applyAlignment="1" applyProtection="1">
      <alignment vertical="center"/>
    </xf>
    <xf numFmtId="0" fontId="11" fillId="3" borderId="9" xfId="0" applyFont="1" applyFill="1" applyBorder="1" applyAlignment="1" applyProtection="1">
      <alignment vertical="center"/>
    </xf>
    <xf numFmtId="0" fontId="30" fillId="3" borderId="54" xfId="0" applyFont="1" applyFill="1" applyBorder="1" applyAlignment="1" applyProtection="1">
      <alignment vertical="center"/>
    </xf>
    <xf numFmtId="0" fontId="11" fillId="3" borderId="54" xfId="0" applyFont="1" applyFill="1" applyBorder="1" applyAlignment="1" applyProtection="1">
      <alignment vertical="center"/>
    </xf>
    <xf numFmtId="165" fontId="16" fillId="3" borderId="5" xfId="0" applyNumberFormat="1" applyFont="1" applyFill="1" applyBorder="1" applyAlignment="1" applyProtection="1">
      <alignment horizontal="center"/>
    </xf>
    <xf numFmtId="0" fontId="11" fillId="2" borderId="8" xfId="0" applyFont="1" applyFill="1" applyBorder="1" applyAlignment="1" applyProtection="1">
      <alignment vertical="center"/>
    </xf>
    <xf numFmtId="1" fontId="11" fillId="2" borderId="18" xfId="0" applyNumberFormat="1" applyFont="1" applyFill="1" applyBorder="1" applyAlignment="1" applyProtection="1">
      <alignment horizontal="center" vertical="center"/>
      <protection locked="0"/>
    </xf>
    <xf numFmtId="0" fontId="11" fillId="3" borderId="17" xfId="0" applyFont="1" applyFill="1" applyBorder="1" applyAlignment="1" applyProtection="1">
      <alignment horizontal="center" vertical="center"/>
      <protection locked="0"/>
    </xf>
    <xf numFmtId="165" fontId="11" fillId="8" borderId="31" xfId="65" applyNumberFormat="1" applyFont="1" applyFill="1" applyBorder="1" applyAlignment="1" applyProtection="1">
      <alignment horizontal="center" vertical="center"/>
      <protection locked="0"/>
    </xf>
    <xf numFmtId="165" fontId="11" fillId="8" borderId="18" xfId="0" applyNumberFormat="1" applyFont="1" applyFill="1" applyBorder="1" applyAlignment="1" applyProtection="1">
      <alignment horizontal="center" vertical="center"/>
      <protection locked="0"/>
    </xf>
    <xf numFmtId="1" fontId="11" fillId="8" borderId="18" xfId="0" applyNumberFormat="1" applyFont="1" applyFill="1" applyBorder="1" applyAlignment="1" applyProtection="1">
      <alignment horizontal="center" vertical="center"/>
      <protection locked="0"/>
    </xf>
    <xf numFmtId="0" fontId="11" fillId="8" borderId="17" xfId="0" applyFont="1" applyFill="1" applyBorder="1" applyAlignment="1" applyProtection="1">
      <alignment horizontal="center" vertical="center"/>
      <protection locked="0"/>
    </xf>
    <xf numFmtId="167" fontId="11" fillId="8" borderId="17" xfId="0" applyNumberFormat="1" applyFont="1" applyFill="1" applyBorder="1" applyAlignment="1" applyProtection="1">
      <alignment horizontal="center" vertical="center"/>
      <protection locked="0"/>
    </xf>
    <xf numFmtId="1" fontId="40" fillId="8" borderId="5" xfId="65" applyNumberFormat="1" applyFont="1" applyFill="1" applyBorder="1" applyAlignment="1" applyProtection="1">
      <alignment horizontal="center"/>
      <protection locked="0"/>
    </xf>
    <xf numFmtId="166" fontId="11" fillId="8" borderId="18" xfId="0" applyNumberFormat="1" applyFont="1" applyFill="1" applyBorder="1" applyAlignment="1" applyProtection="1">
      <alignment horizontal="center" vertical="center"/>
      <protection locked="0"/>
    </xf>
    <xf numFmtId="0" fontId="11" fillId="3" borderId="17" xfId="2" applyFont="1" applyFill="1" applyBorder="1" applyAlignment="1" applyProtection="1">
      <alignment horizontal="center" vertical="center"/>
      <protection locked="0"/>
    </xf>
    <xf numFmtId="0" fontId="11" fillId="8" borderId="17" xfId="2" applyFont="1" applyFill="1" applyBorder="1" applyAlignment="1" applyProtection="1">
      <alignment horizontal="center" vertical="center"/>
      <protection locked="0"/>
    </xf>
    <xf numFmtId="167" fontId="11" fillId="8" borderId="17" xfId="2" applyNumberFormat="1" applyFont="1" applyFill="1" applyBorder="1" applyAlignment="1" applyProtection="1">
      <alignment horizontal="center" vertical="center"/>
      <protection locked="0"/>
    </xf>
    <xf numFmtId="165" fontId="11" fillId="8" borderId="18" xfId="0" applyNumberFormat="1" applyFont="1" applyFill="1" applyBorder="1" applyAlignment="1" applyProtection="1">
      <alignment horizontal="center" vertical="center"/>
      <protection locked="0"/>
    </xf>
    <xf numFmtId="0" fontId="11" fillId="8" borderId="17" xfId="0" applyFont="1" applyFill="1" applyBorder="1" applyAlignment="1" applyProtection="1">
      <alignment horizontal="center" vertical="center"/>
      <protection locked="0"/>
    </xf>
    <xf numFmtId="0" fontId="11" fillId="8" borderId="17" xfId="2" applyFont="1" applyFill="1" applyBorder="1" applyAlignment="1" applyProtection="1">
      <alignment horizontal="center" vertical="center"/>
      <protection locked="0"/>
    </xf>
    <xf numFmtId="165" fontId="11" fillId="8" borderId="31" xfId="66" applyNumberFormat="1" applyFont="1" applyFill="1" applyBorder="1" applyAlignment="1" applyProtection="1">
      <alignment horizontal="center" vertical="center"/>
      <protection locked="0"/>
    </xf>
    <xf numFmtId="165" fontId="11" fillId="8" borderId="18" xfId="2" applyNumberFormat="1" applyFont="1" applyFill="1" applyBorder="1" applyAlignment="1" applyProtection="1">
      <alignment horizontal="center" vertical="center"/>
      <protection locked="0"/>
    </xf>
    <xf numFmtId="1" fontId="11" fillId="8" borderId="18" xfId="2" applyNumberFormat="1" applyFont="1" applyFill="1" applyBorder="1" applyAlignment="1" applyProtection="1">
      <alignment horizontal="center" vertical="center"/>
      <protection locked="0"/>
    </xf>
    <xf numFmtId="1" fontId="11" fillId="8" borderId="5" xfId="66" applyNumberFormat="1" applyFont="1" applyFill="1" applyBorder="1" applyAlignment="1" applyProtection="1">
      <alignment horizontal="center" vertical="center"/>
      <protection locked="0"/>
    </xf>
    <xf numFmtId="0" fontId="40" fillId="8" borderId="5" xfId="66" applyFont="1" applyFill="1" applyBorder="1" applyAlignment="1" applyProtection="1">
      <alignment horizontal="center"/>
      <protection locked="0"/>
    </xf>
    <xf numFmtId="167" fontId="11" fillId="8" borderId="17" xfId="2" applyNumberFormat="1" applyFont="1" applyFill="1" applyBorder="1" applyAlignment="1" applyProtection="1">
      <alignment horizontal="center" vertical="center"/>
      <protection locked="0"/>
    </xf>
    <xf numFmtId="165" fontId="11" fillId="8" borderId="5" xfId="66" applyNumberFormat="1" applyFont="1" applyFill="1" applyBorder="1" applyAlignment="1" applyProtection="1">
      <alignment horizontal="center" vertical="center"/>
      <protection locked="0"/>
    </xf>
    <xf numFmtId="165" fontId="11" fillId="2" borderId="18" xfId="2" applyNumberFormat="1" applyFont="1" applyFill="1" applyBorder="1" applyAlignment="1" applyProtection="1">
      <alignment horizontal="center" vertical="center"/>
      <protection locked="0"/>
    </xf>
    <xf numFmtId="14" fontId="41" fillId="2" borderId="0" xfId="0" applyNumberFormat="1" applyFont="1" applyFill="1" applyBorder="1" applyAlignment="1" applyProtection="1">
      <alignment horizontal="center" vertical="center"/>
    </xf>
    <xf numFmtId="1" fontId="42" fillId="2" borderId="18" xfId="0" applyNumberFormat="1" applyFont="1" applyFill="1" applyBorder="1" applyAlignment="1" applyProtection="1">
      <alignment horizontal="center" vertical="center"/>
      <protection locked="0"/>
    </xf>
    <xf numFmtId="14" fontId="15" fillId="3" borderId="0" xfId="0" applyNumberFormat="1" applyFont="1" applyFill="1" applyProtection="1"/>
    <xf numFmtId="0" fontId="26" fillId="3" borderId="106" xfId="0" applyFont="1" applyFill="1" applyBorder="1" applyAlignment="1" applyProtection="1">
      <alignment horizontal="center" vertical="center"/>
      <protection locked="0"/>
    </xf>
    <xf numFmtId="0" fontId="33" fillId="3" borderId="0" xfId="0" applyFont="1" applyFill="1" applyAlignment="1" applyProtection="1">
      <alignment horizontal="left" vertical="center"/>
    </xf>
    <xf numFmtId="0" fontId="15" fillId="3" borderId="0" xfId="0" applyFont="1" applyFill="1" applyAlignment="1" applyProtection="1">
      <alignment horizontal="center"/>
    </xf>
    <xf numFmtId="0" fontId="44" fillId="3" borderId="0" xfId="0" applyFont="1" applyFill="1" applyBorder="1" applyProtection="1"/>
    <xf numFmtId="0" fontId="31" fillId="3" borderId="0" xfId="0" applyFont="1" applyFill="1" applyProtection="1"/>
    <xf numFmtId="170" fontId="15" fillId="3" borderId="0" xfId="0" applyNumberFormat="1" applyFont="1" applyFill="1" applyAlignment="1" applyProtection="1"/>
    <xf numFmtId="170" fontId="46" fillId="3" borderId="0" xfId="0" applyNumberFormat="1" applyFont="1" applyFill="1" applyBorder="1" applyAlignment="1" applyProtection="1">
      <alignment horizontal="center" vertical="center"/>
    </xf>
    <xf numFmtId="0" fontId="13" fillId="3" borderId="0" xfId="0" applyFont="1" applyFill="1" applyAlignment="1" applyProtection="1">
      <alignment horizontal="center" vertical="center" wrapText="1"/>
    </xf>
    <xf numFmtId="0" fontId="26" fillId="2" borderId="0" xfId="0" applyFont="1" applyFill="1" applyAlignment="1" applyProtection="1">
      <alignment horizontal="center" vertical="center" wrapText="1"/>
      <protection locked="0"/>
    </xf>
    <xf numFmtId="0" fontId="47" fillId="2" borderId="0" xfId="0" applyFont="1" applyFill="1" applyBorder="1" applyAlignment="1" applyProtection="1">
      <alignment horizontal="left" wrapText="1"/>
      <protection locked="0"/>
    </xf>
    <xf numFmtId="0" fontId="26" fillId="2" borderId="107" xfId="0" applyFont="1" applyFill="1" applyBorder="1" applyAlignment="1" applyProtection="1">
      <alignment horizontal="right"/>
    </xf>
    <xf numFmtId="0" fontId="15" fillId="3" borderId="0" xfId="0" applyFont="1" applyFill="1" applyAlignment="1" applyProtection="1">
      <alignment horizontal="center"/>
    </xf>
    <xf numFmtId="0" fontId="15" fillId="3" borderId="0" xfId="0" applyFont="1" applyFill="1" applyAlignment="1" applyProtection="1">
      <alignment horizontal="center" wrapText="1"/>
    </xf>
    <xf numFmtId="0" fontId="12" fillId="3" borderId="86" xfId="0" applyFont="1" applyFill="1" applyBorder="1" applyAlignment="1" applyProtection="1">
      <alignment horizontal="center" vertical="center" wrapText="1"/>
    </xf>
    <xf numFmtId="0" fontId="12" fillId="3" borderId="85" xfId="0" applyFont="1" applyFill="1" applyBorder="1" applyAlignment="1" applyProtection="1">
      <alignment horizontal="center" vertical="center" wrapText="1"/>
    </xf>
    <xf numFmtId="0" fontId="12" fillId="3" borderId="86" xfId="0" applyFont="1" applyFill="1" applyBorder="1" applyAlignment="1" applyProtection="1">
      <alignment horizontal="center" vertical="center"/>
    </xf>
    <xf numFmtId="0" fontId="12" fillId="3" borderId="105" xfId="0" applyFont="1" applyFill="1" applyBorder="1" applyAlignment="1" applyProtection="1">
      <alignment horizontal="center" vertical="center"/>
    </xf>
    <xf numFmtId="0" fontId="35" fillId="3" borderId="0" xfId="0" applyFont="1" applyFill="1" applyAlignment="1" applyProtection="1">
      <alignment horizontal="center" vertical="center"/>
    </xf>
    <xf numFmtId="0" fontId="11" fillId="3" borderId="5" xfId="0" applyFont="1" applyFill="1" applyBorder="1" applyAlignment="1" applyProtection="1">
      <alignment horizontal="center" vertical="center"/>
    </xf>
    <xf numFmtId="0" fontId="30" fillId="3" borderId="47" xfId="0" applyFont="1" applyFill="1" applyBorder="1" applyAlignment="1" applyProtection="1">
      <alignment horizontal="center" vertical="center"/>
    </xf>
    <xf numFmtId="0" fontId="30" fillId="3" borderId="48" xfId="0" applyFont="1" applyFill="1" applyBorder="1" applyAlignment="1" applyProtection="1">
      <alignment horizontal="center" vertical="center"/>
    </xf>
    <xf numFmtId="0" fontId="30" fillId="3" borderId="51" xfId="0" applyFont="1" applyFill="1" applyBorder="1" applyAlignment="1" applyProtection="1">
      <alignment horizontal="center" vertical="center"/>
    </xf>
    <xf numFmtId="0" fontId="11" fillId="3" borderId="38" xfId="0" applyFont="1" applyFill="1" applyBorder="1" applyAlignment="1" applyProtection="1">
      <alignment horizontal="center" vertical="center" wrapText="1"/>
    </xf>
    <xf numFmtId="0" fontId="11" fillId="3" borderId="31" xfId="0" applyFont="1" applyFill="1" applyBorder="1" applyAlignment="1" applyProtection="1">
      <alignment horizontal="center" vertical="center" wrapText="1"/>
    </xf>
    <xf numFmtId="0" fontId="11" fillId="3" borderId="38" xfId="0" applyFont="1" applyFill="1" applyBorder="1" applyAlignment="1" applyProtection="1">
      <alignment horizontal="center" vertical="center"/>
    </xf>
    <xf numFmtId="0" fontId="11" fillId="3" borderId="31" xfId="0" applyFont="1" applyFill="1" applyBorder="1" applyAlignment="1" applyProtection="1">
      <alignment horizontal="center" vertical="center"/>
    </xf>
    <xf numFmtId="0" fontId="15" fillId="2" borderId="41" xfId="0" applyFont="1" applyFill="1" applyBorder="1" applyAlignment="1" applyProtection="1">
      <alignment horizontal="center" vertical="top"/>
      <protection locked="0"/>
    </xf>
    <xf numFmtId="0" fontId="45" fillId="3" borderId="0" xfId="0" applyFont="1" applyFill="1" applyAlignment="1" applyProtection="1">
      <alignment horizontal="center"/>
    </xf>
    <xf numFmtId="49" fontId="11" fillId="2" borderId="8" xfId="0" applyNumberFormat="1" applyFont="1" applyFill="1" applyBorder="1" applyAlignment="1" applyProtection="1">
      <alignment horizontal="center" vertical="center"/>
      <protection locked="0"/>
    </xf>
    <xf numFmtId="49" fontId="11" fillId="2" borderId="9" xfId="0" applyNumberFormat="1" applyFont="1" applyFill="1" applyBorder="1" applyAlignment="1" applyProtection="1">
      <alignment horizontal="center" vertical="center"/>
      <protection locked="0"/>
    </xf>
    <xf numFmtId="49" fontId="11" fillId="2" borderId="18" xfId="0" applyNumberFormat="1" applyFont="1" applyFill="1" applyBorder="1" applyAlignment="1" applyProtection="1">
      <alignment horizontal="center" vertical="center"/>
      <protection locked="0"/>
    </xf>
    <xf numFmtId="0" fontId="11" fillId="3" borderId="23"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49" fontId="11" fillId="8" borderId="8" xfId="0" applyNumberFormat="1" applyFont="1" applyFill="1" applyBorder="1" applyAlignment="1" applyProtection="1">
      <alignment horizontal="center" vertical="center"/>
      <protection locked="0"/>
    </xf>
    <xf numFmtId="49" fontId="11" fillId="8" borderId="9" xfId="0" applyNumberFormat="1" applyFont="1" applyFill="1" applyBorder="1" applyAlignment="1" applyProtection="1">
      <alignment horizontal="center" vertical="center"/>
      <protection locked="0"/>
    </xf>
    <xf numFmtId="49" fontId="11" fillId="8" borderId="18" xfId="0" applyNumberFormat="1" applyFont="1" applyFill="1" applyBorder="1" applyAlignment="1" applyProtection="1">
      <alignment horizontal="center" vertical="center"/>
      <protection locked="0"/>
    </xf>
    <xf numFmtId="0" fontId="11" fillId="2" borderId="0" xfId="0" applyFont="1" applyFill="1" applyBorder="1" applyAlignment="1" applyProtection="1">
      <alignment horizontal="left" vertical="center" wrapText="1"/>
    </xf>
    <xf numFmtId="0" fontId="11" fillId="2" borderId="95" xfId="0" applyFont="1" applyFill="1" applyBorder="1" applyAlignment="1" applyProtection="1">
      <alignment horizontal="center"/>
    </xf>
    <xf numFmtId="0" fontId="11" fillId="2" borderId="96" xfId="0" applyFont="1" applyFill="1" applyBorder="1" applyAlignment="1" applyProtection="1">
      <alignment horizontal="center"/>
    </xf>
    <xf numFmtId="0" fontId="11" fillId="2" borderId="97" xfId="0" applyFont="1" applyFill="1" applyBorder="1" applyAlignment="1" applyProtection="1">
      <alignment horizontal="center"/>
    </xf>
    <xf numFmtId="0" fontId="11" fillId="3" borderId="43" xfId="0" applyFont="1" applyFill="1" applyBorder="1" applyAlignment="1" applyProtection="1">
      <alignment horizontal="center"/>
    </xf>
    <xf numFmtId="0" fontId="11" fillId="3" borderId="44" xfId="0" applyFont="1" applyFill="1" applyBorder="1" applyAlignment="1" applyProtection="1">
      <alignment horizontal="center"/>
    </xf>
    <xf numFmtId="0" fontId="11" fillId="3" borderId="98" xfId="0" applyFont="1" applyFill="1" applyBorder="1" applyAlignment="1" applyProtection="1">
      <alignment horizontal="center"/>
    </xf>
    <xf numFmtId="0" fontId="11" fillId="3" borderId="86" xfId="0" applyFont="1" applyFill="1" applyBorder="1" applyAlignment="1" applyProtection="1">
      <alignment horizontal="center"/>
    </xf>
    <xf numFmtId="0" fontId="11" fillId="3" borderId="85" xfId="0" applyFont="1" applyFill="1" applyBorder="1" applyAlignment="1" applyProtection="1">
      <alignment horizontal="center"/>
    </xf>
    <xf numFmtId="0" fontId="8" fillId="2" borderId="43" xfId="0" applyFont="1" applyFill="1" applyBorder="1" applyAlignment="1" applyProtection="1">
      <alignment horizontal="center" vertical="center"/>
    </xf>
    <xf numFmtId="0" fontId="8" fillId="2" borderId="44" xfId="0" applyFont="1" applyFill="1" applyBorder="1" applyAlignment="1" applyProtection="1">
      <alignment horizontal="center" vertical="center"/>
    </xf>
    <xf numFmtId="0" fontId="11" fillId="3" borderId="89" xfId="0" applyFont="1" applyFill="1" applyBorder="1" applyAlignment="1" applyProtection="1">
      <alignment horizontal="center"/>
    </xf>
    <xf numFmtId="0" fontId="11" fillId="3" borderId="91" xfId="0" applyFont="1" applyFill="1" applyBorder="1" applyAlignment="1" applyProtection="1">
      <alignment horizontal="center"/>
    </xf>
    <xf numFmtId="0" fontId="15" fillId="3" borderId="92" xfId="0" applyFont="1" applyFill="1" applyBorder="1" applyAlignment="1" applyProtection="1">
      <alignment horizontal="center"/>
      <protection locked="0"/>
    </xf>
    <xf numFmtId="0" fontId="15" fillId="3" borderId="93" xfId="0" applyFont="1" applyFill="1" applyBorder="1" applyAlignment="1" applyProtection="1">
      <alignment horizontal="center"/>
      <protection locked="0"/>
    </xf>
    <xf numFmtId="0" fontId="15" fillId="3" borderId="94" xfId="0" applyFont="1" applyFill="1" applyBorder="1" applyAlignment="1" applyProtection="1">
      <alignment horizontal="center"/>
      <protection locked="0"/>
    </xf>
    <xf numFmtId="0" fontId="11" fillId="2" borderId="99" xfId="0" applyFont="1" applyFill="1" applyBorder="1" applyAlignment="1" applyProtection="1">
      <alignment horizontal="center"/>
    </xf>
    <xf numFmtId="0" fontId="11" fillId="2" borderId="100" xfId="0" applyFont="1" applyFill="1" applyBorder="1" applyAlignment="1" applyProtection="1">
      <alignment horizontal="center"/>
    </xf>
    <xf numFmtId="49" fontId="11" fillId="8" borderId="8" xfId="2" applyNumberFormat="1" applyFont="1" applyFill="1" applyBorder="1" applyAlignment="1" applyProtection="1">
      <alignment horizontal="center" vertical="center"/>
      <protection locked="0"/>
    </xf>
    <xf numFmtId="49" fontId="11" fillId="8" borderId="9" xfId="2" applyNumberFormat="1" applyFont="1" applyFill="1" applyBorder="1" applyAlignment="1" applyProtection="1">
      <alignment horizontal="center" vertical="center"/>
      <protection locked="0"/>
    </xf>
    <xf numFmtId="49" fontId="11" fillId="8" borderId="18" xfId="2" applyNumberFormat="1" applyFont="1" applyFill="1" applyBorder="1" applyAlignment="1" applyProtection="1">
      <alignment horizontal="center" vertical="center"/>
      <protection locked="0"/>
    </xf>
    <xf numFmtId="0" fontId="11" fillId="3" borderId="90" xfId="0" applyFont="1" applyFill="1" applyBorder="1" applyAlignment="1" applyProtection="1">
      <alignment horizontal="center"/>
    </xf>
    <xf numFmtId="0" fontId="11" fillId="2" borderId="4"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11" fillId="2" borderId="30" xfId="0" applyFont="1" applyFill="1" applyBorder="1" applyAlignment="1" applyProtection="1">
      <alignment horizontal="left" vertical="center" wrapText="1"/>
    </xf>
    <xf numFmtId="0" fontId="10" fillId="3" borderId="0" xfId="0" applyFont="1" applyFill="1" applyBorder="1" applyAlignment="1" applyProtection="1">
      <alignment horizontal="center" vertical="center" textRotation="90"/>
    </xf>
    <xf numFmtId="0" fontId="10" fillId="3" borderId="19" xfId="0" applyFont="1" applyFill="1" applyBorder="1" applyAlignment="1" applyProtection="1">
      <alignment horizontal="center" vertical="center" textRotation="90"/>
    </xf>
    <xf numFmtId="0" fontId="43" fillId="3" borderId="43" xfId="0" applyFont="1" applyFill="1" applyBorder="1" applyAlignment="1" applyProtection="1">
      <alignment horizontal="center" vertical="center"/>
    </xf>
    <xf numFmtId="0" fontId="43" fillId="3" borderId="42" xfId="0" applyFont="1" applyFill="1" applyBorder="1" applyAlignment="1" applyProtection="1">
      <alignment horizontal="center" vertical="center"/>
    </xf>
    <xf numFmtId="0" fontId="11" fillId="3" borderId="1" xfId="0" applyFont="1" applyFill="1" applyBorder="1" applyAlignment="1" applyProtection="1">
      <alignment horizontal="right" vertical="center"/>
    </xf>
    <xf numFmtId="0" fontId="11" fillId="3" borderId="80" xfId="0" applyFont="1" applyFill="1" applyBorder="1" applyAlignment="1" applyProtection="1">
      <alignment horizontal="right" vertical="center"/>
    </xf>
    <xf numFmtId="0" fontId="11" fillId="2" borderId="71" xfId="0" applyFont="1" applyFill="1" applyBorder="1" applyAlignment="1" applyProtection="1">
      <alignment horizontal="center" vertical="center"/>
      <protection locked="0"/>
    </xf>
    <xf numFmtId="0" fontId="11" fillId="2" borderId="72" xfId="0" applyFont="1" applyFill="1" applyBorder="1" applyAlignment="1" applyProtection="1">
      <alignment horizontal="center" vertical="center"/>
      <protection locked="0"/>
    </xf>
    <xf numFmtId="0" fontId="11" fillId="2" borderId="79" xfId="0" applyFont="1" applyFill="1" applyBorder="1" applyAlignment="1" applyProtection="1">
      <alignment horizontal="center" vertical="center"/>
      <protection locked="0"/>
    </xf>
    <xf numFmtId="0" fontId="13" fillId="2" borderId="7" xfId="0" applyFont="1" applyFill="1" applyBorder="1" applyAlignment="1" applyProtection="1">
      <alignment horizontal="center" vertical="center"/>
    </xf>
    <xf numFmtId="0" fontId="13" fillId="2" borderId="45" xfId="0" applyFont="1" applyFill="1" applyBorder="1" applyAlignment="1" applyProtection="1">
      <alignment horizontal="center" vertical="center"/>
    </xf>
    <xf numFmtId="0" fontId="13" fillId="2" borderId="36" xfId="0" applyFont="1" applyFill="1" applyBorder="1" applyAlignment="1" applyProtection="1">
      <alignment horizontal="center" vertical="center"/>
    </xf>
    <xf numFmtId="0" fontId="33" fillId="3" borderId="15" xfId="0" applyFont="1" applyFill="1" applyBorder="1" applyAlignment="1" applyProtection="1">
      <alignment horizontal="center"/>
    </xf>
    <xf numFmtId="0" fontId="33" fillId="3" borderId="0" xfId="0" applyFont="1" applyFill="1" applyBorder="1" applyAlignment="1" applyProtection="1">
      <alignment horizontal="center"/>
    </xf>
    <xf numFmtId="0" fontId="13" fillId="2" borderId="27" xfId="0" applyFont="1" applyFill="1" applyBorder="1" applyAlignment="1" applyProtection="1">
      <alignment horizontal="center" vertical="center"/>
    </xf>
    <xf numFmtId="0" fontId="13" fillId="2" borderId="46" xfId="0" applyFont="1" applyFill="1" applyBorder="1" applyAlignment="1" applyProtection="1">
      <alignment horizontal="center" vertical="center"/>
    </xf>
    <xf numFmtId="0" fontId="33" fillId="2" borderId="78" xfId="0" applyFont="1" applyFill="1" applyBorder="1" applyAlignment="1" applyProtection="1">
      <alignment horizontal="left" vertical="center" wrapText="1"/>
    </xf>
    <xf numFmtId="0" fontId="33" fillId="2" borderId="0" xfId="0" applyFont="1" applyFill="1" applyBorder="1" applyAlignment="1" applyProtection="1">
      <alignment horizontal="left" vertical="center" wrapText="1"/>
    </xf>
    <xf numFmtId="0" fontId="33" fillId="2" borderId="22" xfId="0" applyFont="1" applyFill="1" applyBorder="1" applyAlignment="1" applyProtection="1">
      <alignment horizontal="left" vertical="center" wrapText="1"/>
    </xf>
    <xf numFmtId="0" fontId="11" fillId="2" borderId="78" xfId="0" applyFont="1" applyFill="1" applyBorder="1" applyAlignment="1" applyProtection="1">
      <alignment horizontal="left" vertical="center"/>
    </xf>
    <xf numFmtId="0" fontId="11" fillId="2" borderId="0" xfId="0" applyFont="1" applyFill="1" applyBorder="1" applyAlignment="1" applyProtection="1">
      <alignment horizontal="left" vertical="center"/>
    </xf>
    <xf numFmtId="0" fontId="11" fillId="2" borderId="22" xfId="0" applyFont="1" applyFill="1" applyBorder="1" applyAlignment="1" applyProtection="1">
      <alignment horizontal="left" vertical="center"/>
    </xf>
    <xf numFmtId="0" fontId="11" fillId="2" borderId="46" xfId="0" applyFont="1" applyFill="1" applyBorder="1" applyAlignment="1" applyProtection="1">
      <alignment horizontal="left" vertical="center"/>
    </xf>
    <xf numFmtId="0" fontId="11" fillId="2" borderId="34" xfId="0" applyFont="1" applyFill="1" applyBorder="1" applyAlignment="1" applyProtection="1">
      <alignment horizontal="left" vertical="center"/>
    </xf>
    <xf numFmtId="0" fontId="30" fillId="3" borderId="102" xfId="0" applyFont="1" applyFill="1" applyBorder="1" applyAlignment="1" applyProtection="1">
      <alignment horizontal="center" vertical="center"/>
    </xf>
    <xf numFmtId="0" fontId="30" fillId="3" borderId="103" xfId="0" applyFont="1" applyFill="1" applyBorder="1" applyAlignment="1" applyProtection="1">
      <alignment horizontal="center" vertical="center"/>
    </xf>
    <xf numFmtId="0" fontId="11" fillId="3" borderId="84" xfId="0" applyFont="1" applyFill="1" applyBorder="1" applyAlignment="1" applyProtection="1">
      <alignment horizontal="center" vertical="center"/>
    </xf>
    <xf numFmtId="0" fontId="8" fillId="2" borderId="16" xfId="0" applyFont="1" applyFill="1" applyBorder="1" applyAlignment="1" applyProtection="1">
      <alignment horizontal="center"/>
    </xf>
    <xf numFmtId="0" fontId="42" fillId="13" borderId="0" xfId="0" applyFont="1" applyFill="1" applyAlignment="1" applyProtection="1">
      <alignment horizontal="center" vertical="center"/>
    </xf>
    <xf numFmtId="0" fontId="11" fillId="3" borderId="83" xfId="0" applyFont="1" applyFill="1" applyBorder="1" applyAlignment="1" applyProtection="1">
      <alignment horizontal="center" vertical="center"/>
    </xf>
    <xf numFmtId="0" fontId="11" fillId="3" borderId="5" xfId="0" applyFont="1" applyFill="1" applyBorder="1" applyAlignment="1" applyProtection="1">
      <alignment horizontal="center" vertical="center" wrapText="1"/>
    </xf>
    <xf numFmtId="0" fontId="11" fillId="3" borderId="83" xfId="0" applyFont="1" applyFill="1" applyBorder="1" applyAlignment="1" applyProtection="1">
      <alignment horizontal="center" vertical="center" wrapText="1"/>
    </xf>
    <xf numFmtId="0" fontId="35" fillId="3" borderId="0" xfId="0" applyFont="1" applyFill="1" applyAlignment="1" applyProtection="1">
      <alignment horizontal="center"/>
    </xf>
    <xf numFmtId="0" fontId="30" fillId="3" borderId="104" xfId="0" applyFont="1" applyFill="1" applyBorder="1" applyAlignment="1" applyProtection="1">
      <alignment horizontal="center" vertical="center"/>
    </xf>
    <xf numFmtId="1" fontId="13" fillId="2" borderId="41" xfId="0" applyNumberFormat="1" applyFont="1" applyFill="1" applyBorder="1" applyAlignment="1" applyProtection="1">
      <alignment horizontal="center"/>
      <protection locked="0"/>
    </xf>
    <xf numFmtId="0" fontId="13" fillId="2" borderId="41" xfId="0" applyFont="1" applyFill="1" applyBorder="1" applyAlignment="1" applyProtection="1">
      <alignment horizontal="center" vertical="center"/>
      <protection locked="0"/>
    </xf>
    <xf numFmtId="167" fontId="13" fillId="2" borderId="0" xfId="0" applyNumberFormat="1" applyFont="1" applyFill="1" applyBorder="1" applyAlignment="1" applyProtection="1">
      <alignment horizontal="center"/>
      <protection locked="0"/>
    </xf>
    <xf numFmtId="49" fontId="11" fillId="2" borderId="64" xfId="0" applyNumberFormat="1" applyFont="1" applyFill="1" applyBorder="1" applyAlignment="1" applyProtection="1">
      <alignment horizontal="center" vertical="center"/>
      <protection locked="0"/>
    </xf>
    <xf numFmtId="49" fontId="11" fillId="2" borderId="50" xfId="0" applyNumberFormat="1" applyFont="1" applyFill="1" applyBorder="1" applyAlignment="1" applyProtection="1">
      <alignment horizontal="center" vertical="center"/>
      <protection locked="0"/>
    </xf>
    <xf numFmtId="49" fontId="11" fillId="2" borderId="65" xfId="0" applyNumberFormat="1" applyFont="1" applyFill="1" applyBorder="1" applyAlignment="1" applyProtection="1">
      <alignment horizontal="center" vertical="center"/>
      <protection locked="0"/>
    </xf>
    <xf numFmtId="0" fontId="11" fillId="2" borderId="2" xfId="0" applyFont="1" applyFill="1" applyBorder="1" applyAlignment="1" applyProtection="1">
      <alignment horizontal="left" vertical="center" wrapText="1"/>
    </xf>
    <xf numFmtId="0" fontId="11" fillId="2" borderId="3" xfId="0" applyFont="1" applyFill="1" applyBorder="1" applyAlignment="1" applyProtection="1">
      <alignment horizontal="left" vertical="center" wrapText="1"/>
    </xf>
    <xf numFmtId="0" fontId="11" fillId="2" borderId="77" xfId="0" applyFont="1" applyFill="1" applyBorder="1" applyAlignment="1" applyProtection="1">
      <alignment horizontal="left" vertical="center" wrapText="1"/>
    </xf>
    <xf numFmtId="0" fontId="38" fillId="10" borderId="71" xfId="61" applyFont="1" applyFill="1" applyBorder="1" applyAlignment="1">
      <alignment horizontal="center" wrapText="1"/>
    </xf>
    <xf numFmtId="0" fontId="38" fillId="10" borderId="72" xfId="61" applyFont="1" applyFill="1" applyBorder="1" applyAlignment="1">
      <alignment horizontal="center" wrapText="1"/>
    </xf>
    <xf numFmtId="0" fontId="38" fillId="10" borderId="73" xfId="61" applyFont="1" applyFill="1" applyBorder="1" applyAlignment="1">
      <alignment horizontal="center" wrapText="1"/>
    </xf>
    <xf numFmtId="0" fontId="38" fillId="0" borderId="71" xfId="61" applyFont="1" applyBorder="1" applyAlignment="1">
      <alignment horizontal="center" vertical="center" wrapText="1"/>
    </xf>
    <xf numFmtId="0" fontId="38" fillId="0" borderId="73" xfId="61" applyFont="1" applyBorder="1" applyAlignment="1">
      <alignment horizontal="center" vertical="center" wrapText="1"/>
    </xf>
  </cellXfs>
  <cellStyles count="67">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Normal" xfId="0" builtinId="0"/>
    <cellStyle name="Normal 2" xfId="2"/>
    <cellStyle name="Normal 3" xfId="61"/>
    <cellStyle name="Normal 3 2" xfId="62"/>
    <cellStyle name="Normal 3 2 2" xfId="64"/>
    <cellStyle name="Normal 3 2 3" xfId="66"/>
    <cellStyle name="Normal 3 3" xfId="63"/>
    <cellStyle name="Normal 3 4" xfId="65"/>
    <cellStyle name="Percent" xfId="1" builtinId="5"/>
  </cellStyles>
  <dxfs count="64">
    <dxf>
      <font>
        <b val="0"/>
        <i val="0"/>
        <condense val="0"/>
        <extend val="0"/>
        <color indexed="10"/>
      </font>
    </dxf>
    <dxf>
      <font>
        <b/>
        <i val="0"/>
        <condense val="0"/>
        <extend val="0"/>
        <color indexed="10"/>
      </font>
    </dxf>
    <dxf>
      <font>
        <b/>
        <i val="0"/>
        <condense val="0"/>
        <extend val="0"/>
        <color indexed="57"/>
      </font>
    </dxf>
    <dxf>
      <fill>
        <patternFill patternType="darkGray"/>
      </fill>
    </dxf>
    <dxf>
      <fill>
        <patternFill patternType="darkGray"/>
      </fill>
    </dxf>
    <dxf>
      <fill>
        <patternFill patternType="darkGray"/>
      </fill>
    </dxf>
    <dxf>
      <fill>
        <patternFill patternType="darkGray">
          <bgColor indexed="65"/>
        </patternFill>
      </fill>
    </dxf>
    <dxf>
      <font>
        <b val="0"/>
        <i val="0"/>
        <condense val="0"/>
        <extend val="0"/>
        <color indexed="10"/>
      </font>
    </dxf>
    <dxf>
      <font>
        <b/>
        <i val="0"/>
        <condense val="0"/>
        <extend val="0"/>
        <color indexed="10"/>
      </font>
    </dxf>
    <dxf>
      <font>
        <b/>
        <i val="0"/>
        <condense val="0"/>
        <extend val="0"/>
        <color indexed="57"/>
      </font>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strike val="0"/>
        <color rgb="FF9C0006"/>
      </font>
      <fill>
        <patternFill>
          <fgColor auto="1"/>
          <bgColor auto="1"/>
        </patternFill>
      </fill>
    </dxf>
    <dxf>
      <font>
        <b/>
        <i val="0"/>
        <strike val="0"/>
        <color rgb="FF008000"/>
      </font>
      <fill>
        <patternFill>
          <fgColor auto="1"/>
          <bgColor auto="1"/>
        </patternFill>
      </fill>
    </dxf>
    <dxf>
      <font>
        <b/>
        <i val="0"/>
        <condense val="0"/>
        <extend val="0"/>
        <color indexed="57"/>
      </font>
    </dxf>
    <dxf>
      <font>
        <b/>
        <i val="0"/>
        <condense val="0"/>
        <extend val="0"/>
        <color indexed="10"/>
      </font>
      <fill>
        <patternFill patternType="none">
          <bgColor indexed="65"/>
        </patternFill>
      </fill>
    </dxf>
    <dxf>
      <font>
        <b/>
        <i val="0"/>
        <condense val="0"/>
        <extend val="0"/>
        <color indexed="57"/>
      </font>
    </dxf>
    <dxf>
      <font>
        <b/>
        <i val="0"/>
        <condense val="0"/>
        <extend val="0"/>
        <color indexed="10"/>
      </font>
      <fill>
        <patternFill patternType="none">
          <bgColor indexed="65"/>
        </patternFill>
      </fill>
    </dxf>
    <dxf>
      <font>
        <b/>
        <i val="0"/>
        <condense val="0"/>
        <extend val="0"/>
        <color indexed="57"/>
      </font>
    </dxf>
    <dxf>
      <font>
        <b/>
        <i val="0"/>
        <condense val="0"/>
        <extend val="0"/>
        <color indexed="10"/>
      </font>
      <fill>
        <patternFill patternType="none">
          <bgColor indexed="65"/>
        </patternFill>
      </fill>
    </dxf>
    <dxf>
      <font>
        <b val="0"/>
        <i val="0"/>
        <condense val="0"/>
        <extend val="0"/>
        <color indexed="10"/>
      </font>
    </dxf>
    <dxf>
      <font>
        <b/>
        <i val="0"/>
        <condense val="0"/>
        <extend val="0"/>
        <color indexed="10"/>
      </font>
    </dxf>
    <dxf>
      <font>
        <b/>
        <i val="0"/>
        <condense val="0"/>
        <extend val="0"/>
        <color indexed="57"/>
      </font>
    </dxf>
    <dxf>
      <font>
        <b/>
        <i val="0"/>
        <condense val="0"/>
        <extend val="0"/>
        <color indexed="57"/>
      </font>
    </dxf>
    <dxf>
      <font>
        <b/>
        <i val="0"/>
        <condense val="0"/>
        <extend val="0"/>
        <color indexed="10"/>
      </font>
    </dxf>
    <dxf>
      <fill>
        <patternFill>
          <bgColor indexed="63"/>
        </patternFill>
      </fill>
    </dxf>
    <dxf>
      <fill>
        <patternFill patternType="gray0625"/>
      </fill>
    </dxf>
    <dxf>
      <fill>
        <patternFill patternType="gray06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0"/>
            <c:trendlineLbl>
              <c:layout>
                <c:manualLayout>
                  <c:x val="-9.2992125984251967E-2"/>
                  <c:y val="5.7817147856517932E-2"/>
                </c:manualLayout>
              </c:layout>
              <c:numFmt formatCode="General" sourceLinked="0"/>
            </c:trendlineLbl>
          </c:trendline>
          <c:xVal>
            <c:numRef>
              <c:f>'Entry page'!$AW$52:$AW$54</c:f>
              <c:numCache>
                <c:formatCode>0.000</c:formatCode>
                <c:ptCount val="3"/>
                <c:pt idx="0">
                  <c:v>0.76083333333333336</c:v>
                </c:pt>
                <c:pt idx="1">
                  <c:v>0.7466666666666667</c:v>
                </c:pt>
                <c:pt idx="2">
                  <c:v>0.77500000000000002</c:v>
                </c:pt>
              </c:numCache>
            </c:numRef>
          </c:xVal>
          <c:yVal>
            <c:numRef>
              <c:f>'Entry page'!$AX$52:$AX$54</c:f>
              <c:numCache>
                <c:formatCode>General</c:formatCode>
                <c:ptCount val="3"/>
                <c:pt idx="0">
                  <c:v>141.9</c:v>
                </c:pt>
                <c:pt idx="1">
                  <c:v>142.6</c:v>
                </c:pt>
                <c:pt idx="2">
                  <c:v>141.19999999999999</c:v>
                </c:pt>
              </c:numCache>
            </c:numRef>
          </c:yVal>
          <c:smooth val="0"/>
        </c:ser>
        <c:ser>
          <c:idx val="1"/>
          <c:order val="1"/>
          <c:spPr>
            <a:ln w="28575">
              <a:noFill/>
            </a:ln>
          </c:spPr>
          <c:trendline>
            <c:trendlineType val="linear"/>
            <c:dispRSqr val="1"/>
            <c:dispEq val="0"/>
            <c:trendlineLbl>
              <c:layout>
                <c:manualLayout>
                  <c:x val="0.16224715660542433"/>
                  <c:y val="-0.10506415864683581"/>
                </c:manualLayout>
              </c:layout>
              <c:numFmt formatCode="General" sourceLinked="0"/>
            </c:trendlineLbl>
          </c:trendline>
          <c:xVal>
            <c:strRef>
              <c:f>'Entry page'!$AW$55:$AW$57</c:f>
              <c:strCache>
                <c:ptCount val="1"/>
                <c:pt idx="0">
                  <c:v>0.785</c:v>
                </c:pt>
              </c:strCache>
            </c:strRef>
          </c:xVal>
          <c:yVal>
            <c:numRef>
              <c:f>'Entry page'!$AX$55:$AX$57</c:f>
              <c:numCache>
                <c:formatCode>General</c:formatCode>
                <c:ptCount val="3"/>
                <c:pt idx="0">
                  <c:v>140.69999999999999</c:v>
                </c:pt>
                <c:pt idx="1">
                  <c:v>0</c:v>
                </c:pt>
                <c:pt idx="2">
                  <c:v>0</c:v>
                </c:pt>
              </c:numCache>
            </c:numRef>
          </c:yVal>
          <c:smooth val="0"/>
        </c:ser>
        <c:dLbls>
          <c:showLegendKey val="0"/>
          <c:showVal val="0"/>
          <c:showCatName val="0"/>
          <c:showSerName val="0"/>
          <c:showPercent val="0"/>
          <c:showBubbleSize val="0"/>
        </c:dLbls>
        <c:axId val="568401744"/>
        <c:axId val="568398608"/>
      </c:scatterChart>
      <c:valAx>
        <c:axId val="568401744"/>
        <c:scaling>
          <c:orientation val="minMax"/>
        </c:scaling>
        <c:delete val="0"/>
        <c:axPos val="b"/>
        <c:numFmt formatCode="0.000" sourceLinked="1"/>
        <c:majorTickMark val="out"/>
        <c:minorTickMark val="none"/>
        <c:tickLblPos val="nextTo"/>
        <c:crossAx val="568398608"/>
        <c:crosses val="autoZero"/>
        <c:crossBetween val="midCat"/>
      </c:valAx>
      <c:valAx>
        <c:axId val="568398608"/>
        <c:scaling>
          <c:orientation val="minMax"/>
        </c:scaling>
        <c:delete val="0"/>
        <c:axPos val="l"/>
        <c:majorGridlines/>
        <c:numFmt formatCode="General" sourceLinked="1"/>
        <c:majorTickMark val="out"/>
        <c:minorTickMark val="none"/>
        <c:tickLblPos val="nextTo"/>
        <c:crossAx val="568401744"/>
        <c:crosses val="autoZero"/>
        <c:crossBetween val="midCat"/>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'Entry page'!$AW$16:$AW$29</c:f>
              <c:numCache>
                <c:formatCode>0.0</c:formatCode>
                <c:ptCount val="14"/>
                <c:pt idx="0">
                  <c:v>1978</c:v>
                </c:pt>
                <c:pt idx="1">
                  <c:v>1981</c:v>
                </c:pt>
                <c:pt idx="2">
                  <c:v>1954</c:v>
                </c:pt>
                <c:pt idx="3">
                  <c:v>1969</c:v>
                </c:pt>
                <c:pt idx="4">
                  <c:v>1847</c:v>
                </c:pt>
                <c:pt idx="5">
                  <c:v>1851</c:v>
                </c:pt>
                <c:pt idx="6">
                  <c:v>2188</c:v>
                </c:pt>
                <c:pt idx="7">
                  <c:v>2200</c:v>
                </c:pt>
                <c:pt idx="8">
                  <c:v>2140</c:v>
                </c:pt>
                <c:pt idx="9">
                  <c:v>2148</c:v>
                </c:pt>
                <c:pt idx="10">
                  <c:v>2574</c:v>
                </c:pt>
                <c:pt idx="11">
                  <c:v>2521</c:v>
                </c:pt>
                <c:pt idx="12">
                  <c:v>2164</c:v>
                </c:pt>
                <c:pt idx="13">
                  <c:v>2179</c:v>
                </c:pt>
              </c:numCache>
            </c:numRef>
          </c:xVal>
          <c:yVal>
            <c:numRef>
              <c:f>'Entry page'!$AX$16:$AX$29</c:f>
              <c:numCache>
                <c:formatCode>General</c:formatCode>
                <c:ptCount val="14"/>
                <c:pt idx="0">
                  <c:v>141.80000000000001</c:v>
                </c:pt>
                <c:pt idx="1">
                  <c:v>141.69999999999999</c:v>
                </c:pt>
                <c:pt idx="2">
                  <c:v>142.80000000000001</c:v>
                </c:pt>
                <c:pt idx="3">
                  <c:v>142.19999999999999</c:v>
                </c:pt>
                <c:pt idx="4">
                  <c:v>147.19999999999999</c:v>
                </c:pt>
                <c:pt idx="5">
                  <c:v>147</c:v>
                </c:pt>
                <c:pt idx="6">
                  <c:v>141.19999999999999</c:v>
                </c:pt>
                <c:pt idx="7">
                  <c:v>140.80000000000001</c:v>
                </c:pt>
                <c:pt idx="8">
                  <c:v>143.19999999999999</c:v>
                </c:pt>
                <c:pt idx="9">
                  <c:v>142.80000000000001</c:v>
                </c:pt>
                <c:pt idx="10">
                  <c:v>146.6</c:v>
                </c:pt>
                <c:pt idx="11">
                  <c:v>146.30000000000001</c:v>
                </c:pt>
                <c:pt idx="12">
                  <c:v>142.19999999999999</c:v>
                </c:pt>
                <c:pt idx="13">
                  <c:v>141.6</c:v>
                </c:pt>
              </c:numCache>
            </c:numRef>
          </c:yVal>
          <c:smooth val="0"/>
        </c:ser>
        <c:dLbls>
          <c:showLegendKey val="0"/>
          <c:showVal val="0"/>
          <c:showCatName val="0"/>
          <c:showSerName val="0"/>
          <c:showPercent val="0"/>
          <c:showBubbleSize val="0"/>
        </c:dLbls>
        <c:axId val="568401352"/>
        <c:axId val="568400960"/>
      </c:scatterChart>
      <c:valAx>
        <c:axId val="568401352"/>
        <c:scaling>
          <c:orientation val="minMax"/>
          <c:min val="17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8400960"/>
        <c:crosses val="autoZero"/>
        <c:crossBetween val="midCat"/>
      </c:valAx>
      <c:valAx>
        <c:axId val="5684009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8401352"/>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2</xdr:col>
      <xdr:colOff>390525</xdr:colOff>
      <xdr:row>159</xdr:row>
      <xdr:rowOff>95250</xdr:rowOff>
    </xdr:from>
    <xdr:to>
      <xdr:col>6</xdr:col>
      <xdr:colOff>189901</xdr:colOff>
      <xdr:row>164</xdr:row>
      <xdr:rowOff>85228</xdr:rowOff>
    </xdr:to>
    <xdr:pic>
      <xdr:nvPicPr>
        <xdr:cNvPr id="8249" name="Picture 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071175"/>
          <a:ext cx="3533775"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xdr:colOff>
      <xdr:row>1</xdr:row>
      <xdr:rowOff>30528</xdr:rowOff>
    </xdr:from>
    <xdr:to>
      <xdr:col>3</xdr:col>
      <xdr:colOff>897376</xdr:colOff>
      <xdr:row>6</xdr:row>
      <xdr:rowOff>367392</xdr:rowOff>
    </xdr:to>
    <xdr:pic>
      <xdr:nvPicPr>
        <xdr:cNvPr id="8250" name="Picture 2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2346" y="275457"/>
          <a:ext cx="1785923" cy="1860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59</xdr:col>
      <xdr:colOff>802822</xdr:colOff>
      <xdr:row>44</xdr:row>
      <xdr:rowOff>179614</xdr:rowOff>
    </xdr:from>
    <xdr:to>
      <xdr:col>67</xdr:col>
      <xdr:colOff>108857</xdr:colOff>
      <xdr:row>52</xdr:row>
      <xdr:rowOff>51707</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59</xdr:col>
      <xdr:colOff>710045</xdr:colOff>
      <xdr:row>14</xdr:row>
      <xdr:rowOff>57149</xdr:rowOff>
    </xdr:from>
    <xdr:to>
      <xdr:col>76</xdr:col>
      <xdr:colOff>329045</xdr:colOff>
      <xdr:row>35</xdr:row>
      <xdr:rowOff>121228</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FA208"/>
  <sheetViews>
    <sheetView tabSelected="1" topLeftCell="D4" zoomScale="55" zoomScaleNormal="55" zoomScaleSheetLayoutView="62" zoomScalePageLayoutView="75" workbookViewId="0">
      <selection activeCell="D45" sqref="D45"/>
    </sheetView>
  </sheetViews>
  <sheetFormatPr defaultColWidth="8.85546875" defaultRowHeight="18" x14ac:dyDescent="0.25"/>
  <cols>
    <col min="1" max="1" width="8.85546875" style="18"/>
    <col min="2" max="2" width="3.28515625" style="18" customWidth="1"/>
    <col min="3" max="4" width="13.42578125" style="16" customWidth="1"/>
    <col min="5" max="5" width="15" style="16" customWidth="1"/>
    <col min="6" max="7" width="13.42578125" style="18" customWidth="1"/>
    <col min="8" max="8" width="14.5703125" style="18" customWidth="1"/>
    <col min="9" max="19" width="13.42578125" style="18" customWidth="1"/>
    <col min="20" max="20" width="14.85546875" style="18" customWidth="1"/>
    <col min="21" max="26" width="13.42578125" style="18" customWidth="1"/>
    <col min="27" max="27" width="3.42578125" style="57" customWidth="1"/>
    <col min="28" max="28" width="10.42578125" style="57" customWidth="1"/>
    <col min="29" max="29" width="13.85546875" style="57" customWidth="1"/>
    <col min="30" max="30" width="14.28515625" style="57" customWidth="1"/>
    <col min="31" max="34" width="10.42578125" style="57" customWidth="1"/>
    <col min="35" max="35" width="10.42578125" style="266" customWidth="1"/>
    <col min="36" max="36" width="10.42578125" style="48" customWidth="1"/>
    <col min="37" max="37" width="15" style="120" customWidth="1"/>
    <col min="38" max="38" width="8.85546875" style="18"/>
    <col min="39" max="39" width="11.42578125" style="18" customWidth="1"/>
    <col min="40" max="40" width="10.7109375" style="18" bestFit="1" customWidth="1"/>
    <col min="41" max="41" width="17.42578125" style="18" customWidth="1"/>
    <col min="42" max="42" width="10.7109375" style="18" bestFit="1" customWidth="1"/>
    <col min="43" max="43" width="10.7109375" style="18" customWidth="1"/>
    <col min="44" max="44" width="10.42578125" style="18" customWidth="1"/>
    <col min="45" max="45" width="13" style="18" bestFit="1" customWidth="1"/>
    <col min="46" max="46" width="10.7109375" style="18" bestFit="1" customWidth="1"/>
    <col min="47" max="47" width="10.7109375" style="18" customWidth="1"/>
    <col min="48" max="48" width="11.28515625" style="18" customWidth="1"/>
    <col min="49" max="49" width="11.85546875" style="18" customWidth="1"/>
    <col min="50" max="51" width="12.140625" style="18" customWidth="1"/>
    <col min="52" max="52" width="11.85546875" style="18" customWidth="1"/>
    <col min="53" max="53" width="10.85546875" style="18" bestFit="1" customWidth="1"/>
    <col min="54" max="54" width="12.28515625" style="18" bestFit="1" customWidth="1"/>
    <col min="55" max="56" width="8.85546875" style="18"/>
    <col min="57" max="57" width="11.28515625" style="18" customWidth="1"/>
    <col min="58" max="59" width="8.85546875" style="18"/>
    <col min="60" max="60" width="12.85546875" style="18" customWidth="1"/>
    <col min="61" max="61" width="13.42578125" style="18" customWidth="1"/>
    <col min="62" max="62" width="9.85546875" style="18" bestFit="1" customWidth="1"/>
    <col min="63" max="68" width="8.85546875" style="18"/>
    <col min="69" max="69" width="9.28515625" style="18" bestFit="1" customWidth="1"/>
    <col min="70" max="70" width="12.7109375" style="18" bestFit="1" customWidth="1"/>
    <col min="71" max="71" width="10.7109375" style="18" bestFit="1" customWidth="1"/>
    <col min="72" max="16384" width="8.85546875" style="18"/>
  </cols>
  <sheetData>
    <row r="1" spans="3:157" ht="18.75" thickBot="1" x14ac:dyDescent="0.3">
      <c r="AA1" s="31"/>
      <c r="AB1" s="31"/>
      <c r="AC1" s="31"/>
      <c r="AD1" s="31"/>
      <c r="AE1" s="31"/>
      <c r="AF1" s="31"/>
      <c r="AG1" s="31"/>
      <c r="AH1" s="102"/>
      <c r="AI1" s="199"/>
      <c r="AJ1" s="24"/>
      <c r="AK1" s="132"/>
      <c r="AL1" s="24"/>
      <c r="AM1" s="24"/>
    </row>
    <row r="2" spans="3:157" ht="18.75" thickTop="1" x14ac:dyDescent="0.25">
      <c r="C2" s="133"/>
      <c r="D2" s="123"/>
      <c r="E2" s="6"/>
      <c r="F2" s="75"/>
      <c r="G2" s="75"/>
      <c r="H2" s="75"/>
      <c r="I2" s="75"/>
      <c r="J2" s="75"/>
      <c r="K2" s="75"/>
      <c r="L2" s="75"/>
      <c r="M2" s="75"/>
      <c r="N2" s="75"/>
      <c r="O2" s="134"/>
      <c r="P2" s="39"/>
      <c r="Q2" s="39"/>
      <c r="R2" s="40"/>
      <c r="S2" s="39"/>
      <c r="T2" s="39"/>
      <c r="U2" s="39"/>
      <c r="V2" s="13"/>
      <c r="W2" s="39"/>
      <c r="X2" s="39"/>
      <c r="Y2" s="40"/>
      <c r="Z2" s="41"/>
      <c r="AA2" s="103"/>
      <c r="AB2" s="103"/>
      <c r="AC2" s="103"/>
      <c r="AD2" s="103"/>
      <c r="AE2" s="103"/>
      <c r="AF2" s="103"/>
      <c r="AG2" s="103"/>
      <c r="AH2" s="103"/>
      <c r="AI2" s="259"/>
      <c r="AJ2" s="103"/>
      <c r="AK2" s="135"/>
      <c r="AL2" s="24"/>
      <c r="AM2" s="24"/>
    </row>
    <row r="3" spans="3:157" ht="23.25" customHeight="1" x14ac:dyDescent="0.3">
      <c r="C3" s="136"/>
      <c r="D3" s="122"/>
      <c r="E3" s="5"/>
      <c r="F3" s="466" t="s">
        <v>184</v>
      </c>
      <c r="G3" s="466"/>
      <c r="H3" s="466"/>
      <c r="I3" s="466"/>
      <c r="J3" s="466"/>
      <c r="K3" s="137"/>
      <c r="L3" s="137"/>
      <c r="M3" s="137"/>
      <c r="N3" s="137"/>
      <c r="O3" s="137"/>
      <c r="P3" s="137"/>
      <c r="Q3" s="138" t="s">
        <v>190</v>
      </c>
      <c r="U3" s="30"/>
      <c r="V3" s="102"/>
      <c r="W3" s="102"/>
      <c r="X3" s="102"/>
      <c r="Y3" s="103"/>
      <c r="Z3" s="42"/>
      <c r="AA3" s="103"/>
      <c r="AB3" s="103"/>
      <c r="AC3" s="103"/>
      <c r="AD3" s="103"/>
      <c r="AE3" s="103"/>
      <c r="AF3" s="103"/>
      <c r="AG3" s="103"/>
      <c r="AH3" s="103"/>
      <c r="AI3" s="259"/>
      <c r="AJ3" s="103"/>
      <c r="AK3" s="135"/>
      <c r="AL3" s="24"/>
      <c r="AM3" s="24"/>
    </row>
    <row r="4" spans="3:157" ht="19.5" customHeight="1" x14ac:dyDescent="0.3">
      <c r="C4" s="136"/>
      <c r="D4" s="122"/>
      <c r="E4" s="5"/>
      <c r="F4" s="466"/>
      <c r="G4" s="466"/>
      <c r="H4" s="466"/>
      <c r="I4" s="466"/>
      <c r="J4" s="466"/>
      <c r="K4" s="137"/>
      <c r="L4" s="137"/>
      <c r="M4" s="137"/>
      <c r="N4" s="137"/>
      <c r="O4" s="137"/>
      <c r="P4" s="137"/>
      <c r="Q4" s="31" t="s">
        <v>33</v>
      </c>
      <c r="U4" s="31"/>
      <c r="W4" s="102"/>
      <c r="X4" s="102"/>
      <c r="Y4" s="103"/>
      <c r="Z4" s="42"/>
      <c r="AA4" s="103"/>
      <c r="AB4" s="103"/>
      <c r="AC4" s="103"/>
      <c r="AD4" s="103"/>
      <c r="AE4" s="103"/>
      <c r="AF4" s="103"/>
      <c r="AG4" s="103"/>
      <c r="AH4" s="103"/>
      <c r="AI4" s="259"/>
      <c r="AJ4" s="103"/>
      <c r="AK4" s="135"/>
      <c r="AL4" s="24"/>
      <c r="AM4" s="24"/>
    </row>
    <row r="5" spans="3:157" ht="33" customHeight="1" x14ac:dyDescent="0.45">
      <c r="C5" s="136"/>
      <c r="D5" s="122"/>
      <c r="E5" s="5"/>
      <c r="F5" s="466"/>
      <c r="G5" s="466"/>
      <c r="H5" s="466"/>
      <c r="I5" s="466"/>
      <c r="J5" s="466"/>
      <c r="K5" s="462" t="str">
        <f>+IF(+ISTEXT(N8),"","MASTER ")</f>
        <v xml:space="preserve">MASTER </v>
      </c>
      <c r="L5" s="250"/>
      <c r="M5" s="465">
        <f ca="1">+IF(N8="X","",+TODAY())</f>
        <v>42936</v>
      </c>
      <c r="N5" s="465"/>
      <c r="P5" s="137"/>
      <c r="Q5" s="137"/>
      <c r="S5" s="30" t="s">
        <v>13</v>
      </c>
      <c r="T5" s="251"/>
      <c r="U5" s="38"/>
      <c r="V5" s="554"/>
      <c r="W5" s="554"/>
      <c r="X5" s="554"/>
      <c r="Y5" s="554"/>
      <c r="Z5" s="42"/>
      <c r="AA5" s="103"/>
      <c r="AB5" s="103" t="s">
        <v>183</v>
      </c>
      <c r="AC5" s="103"/>
      <c r="AD5" s="103"/>
      <c r="AE5" s="103"/>
      <c r="AF5" s="103"/>
      <c r="AG5" s="103"/>
      <c r="AH5" s="103"/>
      <c r="AI5" s="467"/>
      <c r="AJ5" s="467"/>
      <c r="AK5" s="467"/>
      <c r="AL5" s="467"/>
      <c r="AM5" s="467"/>
    </row>
    <row r="6" spans="3:157" ht="38.25" customHeight="1" thickBot="1" x14ac:dyDescent="0.35">
      <c r="C6" s="136"/>
      <c r="D6" s="122"/>
      <c r="E6" s="5"/>
      <c r="F6" s="466"/>
      <c r="G6" s="466"/>
      <c r="H6" s="466"/>
      <c r="I6" s="466"/>
      <c r="J6" s="466"/>
      <c r="K6" s="463" t="str">
        <f>+IF(AND(K8="X",K9="X"),"Error, check only one box","")</f>
        <v/>
      </c>
      <c r="O6" s="464"/>
      <c r="P6" s="38"/>
      <c r="Q6" s="38"/>
      <c r="S6" s="32" t="s">
        <v>12</v>
      </c>
      <c r="T6" s="32"/>
      <c r="U6" s="31"/>
      <c r="V6" s="556"/>
      <c r="W6" s="556"/>
      <c r="X6" s="556"/>
      <c r="Y6" s="556"/>
      <c r="Z6" s="42"/>
      <c r="AA6" s="103"/>
      <c r="AB6" s="77"/>
      <c r="AC6" s="98"/>
      <c r="AD6" s="76"/>
      <c r="AE6" s="103"/>
      <c r="AF6" s="103"/>
      <c r="AG6" s="103"/>
      <c r="AH6" s="103"/>
      <c r="AI6" s="467"/>
      <c r="AJ6" s="467"/>
      <c r="AK6" s="467"/>
      <c r="AL6" s="467"/>
      <c r="AM6" s="467"/>
    </row>
    <row r="7" spans="3:157" ht="33" customHeight="1" thickTop="1" thickBot="1" x14ac:dyDescent="0.35">
      <c r="C7" s="136"/>
      <c r="D7" s="122"/>
      <c r="E7" s="5"/>
      <c r="F7" s="466"/>
      <c r="G7" s="466"/>
      <c r="H7" s="466"/>
      <c r="I7" s="466"/>
      <c r="J7" s="466"/>
      <c r="K7" s="70" t="s">
        <v>60</v>
      </c>
      <c r="M7" s="29"/>
      <c r="N7" s="458"/>
      <c r="P7" s="139"/>
      <c r="Q7" s="139"/>
      <c r="R7" s="522" t="s">
        <v>66</v>
      </c>
      <c r="S7" s="523"/>
      <c r="T7" s="346">
        <v>1</v>
      </c>
      <c r="U7" s="346"/>
      <c r="V7" s="347"/>
      <c r="W7" s="347">
        <v>2</v>
      </c>
      <c r="X7" s="347"/>
      <c r="Y7" s="347"/>
      <c r="Z7" s="348">
        <v>3</v>
      </c>
      <c r="AA7" s="103"/>
      <c r="AB7" s="77"/>
      <c r="AC7" s="98"/>
      <c r="AD7" s="98"/>
      <c r="AE7" s="103"/>
      <c r="AF7" s="103"/>
      <c r="AG7" s="103"/>
      <c r="AH7" s="103"/>
      <c r="AI7" s="467"/>
      <c r="AJ7" s="467"/>
      <c r="AK7" s="467"/>
      <c r="AL7" s="467"/>
      <c r="AM7" s="467"/>
      <c r="AN7" s="456"/>
      <c r="AO7" s="456"/>
      <c r="AP7" s="456"/>
      <c r="AQ7" s="456"/>
      <c r="AR7" s="456"/>
      <c r="AS7" s="456"/>
      <c r="AT7" s="456"/>
      <c r="AU7" s="456"/>
      <c r="AV7" s="456"/>
      <c r="AW7" s="456"/>
      <c r="AX7" s="456"/>
      <c r="AY7" s="456"/>
      <c r="AZ7" s="456"/>
      <c r="BA7" s="456"/>
      <c r="BB7" s="456"/>
      <c r="BC7" s="456"/>
      <c r="BD7" s="456"/>
      <c r="BE7" s="456"/>
      <c r="BF7" s="456"/>
    </row>
    <row r="8" spans="3:157" ht="30" customHeight="1" thickTop="1" thickBot="1" x14ac:dyDescent="0.3">
      <c r="C8" s="34"/>
      <c r="D8" s="32" t="s">
        <v>4</v>
      </c>
      <c r="E8" s="36"/>
      <c r="F8" s="555"/>
      <c r="G8" s="555"/>
      <c r="H8" s="555"/>
      <c r="I8" s="555"/>
      <c r="J8" s="555"/>
      <c r="K8" s="58" t="s">
        <v>160</v>
      </c>
      <c r="L8" s="251" t="s">
        <v>34</v>
      </c>
      <c r="N8" s="459"/>
      <c r="O8" s="460" t="s">
        <v>182</v>
      </c>
      <c r="R8" s="349" t="s">
        <v>46</v>
      </c>
      <c r="S8" s="250"/>
      <c r="T8" s="8"/>
      <c r="U8" s="124" t="s">
        <v>46</v>
      </c>
      <c r="V8" s="43"/>
      <c r="W8" s="8"/>
      <c r="X8" s="124" t="s">
        <v>46</v>
      </c>
      <c r="Y8" s="43"/>
      <c r="Z8" s="56"/>
      <c r="AA8" s="103"/>
      <c r="AB8" s="74"/>
      <c r="AC8" s="98"/>
      <c r="AD8" s="98"/>
      <c r="AE8" s="103"/>
      <c r="AF8" s="103"/>
      <c r="AG8" s="103"/>
      <c r="AH8" s="103"/>
      <c r="AI8" s="467"/>
      <c r="AJ8" s="467"/>
      <c r="AK8" s="467"/>
      <c r="AL8" s="467"/>
      <c r="AM8" s="467"/>
      <c r="AN8" s="456"/>
      <c r="AO8" s="456"/>
      <c r="AP8" s="456"/>
      <c r="AQ8" s="456"/>
      <c r="AR8" s="456"/>
      <c r="AS8" s="456"/>
      <c r="AT8" s="456"/>
      <c r="AU8" s="456"/>
      <c r="AV8" s="456"/>
      <c r="AW8" s="456"/>
      <c r="AX8" s="456"/>
      <c r="AY8" s="456"/>
      <c r="AZ8" s="456"/>
      <c r="BA8" s="456"/>
      <c r="BB8" s="456"/>
      <c r="BC8" s="456"/>
      <c r="BD8" s="456"/>
      <c r="BE8" s="456"/>
      <c r="BF8" s="456"/>
    </row>
    <row r="9" spans="3:157" ht="30" customHeight="1" thickTop="1" thickBot="1" x14ac:dyDescent="0.3">
      <c r="C9" s="34"/>
      <c r="D9" s="32" t="s">
        <v>14</v>
      </c>
      <c r="E9" s="36"/>
      <c r="F9" s="555"/>
      <c r="G9" s="555"/>
      <c r="H9" s="555"/>
      <c r="I9" s="555"/>
      <c r="J9" s="555"/>
      <c r="K9" s="363"/>
      <c r="L9" s="251" t="s">
        <v>35</v>
      </c>
      <c r="N9" s="251"/>
      <c r="R9" s="350" t="s">
        <v>45</v>
      </c>
      <c r="S9" s="250"/>
      <c r="T9" s="8">
        <v>126</v>
      </c>
      <c r="U9" s="351" t="s">
        <v>45</v>
      </c>
      <c r="V9" s="43"/>
      <c r="W9" s="8">
        <v>143.30000000000001</v>
      </c>
      <c r="X9" s="351" t="s">
        <v>45</v>
      </c>
      <c r="Y9" s="43"/>
      <c r="Z9" s="56">
        <v>145</v>
      </c>
      <c r="AA9" s="43"/>
      <c r="AB9" s="74" t="s">
        <v>32</v>
      </c>
      <c r="AC9" s="98"/>
      <c r="AD9" s="98"/>
      <c r="AE9" s="43"/>
      <c r="AF9" s="43"/>
      <c r="AG9" s="43"/>
      <c r="AH9" s="43"/>
      <c r="AI9" s="260"/>
      <c r="AJ9" s="43" t="e">
        <f>+VLOOKUP(AJ11,T69:U72,2)</f>
        <v>#N/A</v>
      </c>
      <c r="AK9" s="140"/>
      <c r="AL9" s="24"/>
      <c r="AM9" s="24"/>
    </row>
    <row r="10" spans="3:157" ht="30" customHeight="1" thickBot="1" x14ac:dyDescent="0.3">
      <c r="C10" s="34"/>
      <c r="D10" s="60" t="s">
        <v>30</v>
      </c>
      <c r="E10" s="36"/>
      <c r="F10" s="555"/>
      <c r="G10" s="555"/>
      <c r="H10" s="555"/>
      <c r="I10" s="555"/>
      <c r="J10" s="555"/>
      <c r="L10" s="524" t="s">
        <v>159</v>
      </c>
      <c r="M10" s="525"/>
      <c r="N10" s="526"/>
      <c r="O10" s="527"/>
      <c r="P10" s="527"/>
      <c r="Q10" s="528"/>
      <c r="R10" s="352" t="s">
        <v>47</v>
      </c>
      <c r="S10" s="248"/>
      <c r="T10" s="353">
        <v>9.5</v>
      </c>
      <c r="U10" s="354" t="s">
        <v>47</v>
      </c>
      <c r="V10" s="248"/>
      <c r="W10" s="353">
        <v>6.6</v>
      </c>
      <c r="X10" s="354" t="s">
        <v>47</v>
      </c>
      <c r="Y10" s="248"/>
      <c r="Z10" s="355">
        <v>6</v>
      </c>
      <c r="AA10" s="43"/>
      <c r="AB10" s="43"/>
      <c r="AC10" s="43"/>
      <c r="AD10" s="43"/>
      <c r="AE10" s="43"/>
      <c r="AF10" s="43"/>
      <c r="AG10" s="43"/>
      <c r="AH10" s="43"/>
      <c r="AI10" s="260"/>
      <c r="AJ10" s="43"/>
      <c r="AK10" s="140"/>
      <c r="AL10" s="24"/>
      <c r="AM10" s="24"/>
    </row>
    <row r="11" spans="3:157" ht="36.75" customHeight="1" thickTop="1" thickBot="1" x14ac:dyDescent="0.35">
      <c r="C11" s="34"/>
      <c r="D11" s="60" t="s">
        <v>31</v>
      </c>
      <c r="E11" s="36"/>
      <c r="F11" s="555"/>
      <c r="G11" s="555"/>
      <c r="H11" s="555"/>
      <c r="I11" s="555"/>
      <c r="J11" s="555"/>
      <c r="K11" s="560" t="s">
        <v>105</v>
      </c>
      <c r="L11" s="561"/>
      <c r="M11" s="561"/>
      <c r="N11" s="561"/>
      <c r="O11" s="561"/>
      <c r="P11" s="561"/>
      <c r="Q11" s="562"/>
      <c r="R11" s="522" t="s">
        <v>158</v>
      </c>
      <c r="S11" s="523"/>
      <c r="T11" s="346">
        <v>1</v>
      </c>
      <c r="U11" s="346"/>
      <c r="V11" s="347"/>
      <c r="W11" s="347">
        <v>2</v>
      </c>
      <c r="X11" s="347"/>
      <c r="Y11" s="347"/>
      <c r="Z11" s="348">
        <v>3</v>
      </c>
      <c r="AA11" s="43"/>
      <c r="AB11" s="43"/>
      <c r="AC11" s="43"/>
      <c r="AD11" s="43"/>
      <c r="AE11" s="43"/>
      <c r="AF11" s="43"/>
      <c r="AG11" s="43"/>
      <c r="AH11" s="43"/>
      <c r="AI11" s="260"/>
      <c r="AJ11" s="140">
        <v>41799</v>
      </c>
      <c r="AK11" s="140"/>
      <c r="AL11" s="24"/>
      <c r="AM11" s="24"/>
      <c r="AS11" s="476" t="s">
        <v>69</v>
      </c>
      <c r="AT11" s="476"/>
      <c r="AU11" s="476"/>
      <c r="AV11" s="476"/>
      <c r="AW11" s="476"/>
    </row>
    <row r="12" spans="3:157" ht="30" customHeight="1" thickTop="1" x14ac:dyDescent="0.25">
      <c r="C12" s="532" t="s">
        <v>63</v>
      </c>
      <c r="D12" s="533"/>
      <c r="E12" s="533"/>
      <c r="F12" s="533"/>
      <c r="G12" s="533"/>
      <c r="H12" s="107"/>
      <c r="I12" s="547"/>
      <c r="J12" s="547"/>
      <c r="K12" s="536" t="s">
        <v>123</v>
      </c>
      <c r="L12" s="537"/>
      <c r="M12" s="537"/>
      <c r="N12" s="537"/>
      <c r="O12" s="537"/>
      <c r="P12" s="537"/>
      <c r="Q12" s="538"/>
      <c r="R12" s="349" t="s">
        <v>46</v>
      </c>
      <c r="S12" s="250"/>
      <c r="T12" s="8"/>
      <c r="U12" s="124" t="s">
        <v>46</v>
      </c>
      <c r="V12" s="43"/>
      <c r="W12" s="8"/>
      <c r="X12" s="124" t="s">
        <v>46</v>
      </c>
      <c r="Y12" s="43"/>
      <c r="Z12" s="56"/>
      <c r="AA12" s="44"/>
      <c r="AB12" s="44"/>
      <c r="AC12" s="44"/>
      <c r="AD12" s="44"/>
      <c r="AE12" s="44"/>
      <c r="AF12" s="44"/>
      <c r="AG12" s="44"/>
      <c r="AH12" s="44"/>
      <c r="AI12" s="261"/>
      <c r="AJ12" s="44"/>
      <c r="AK12" s="141"/>
      <c r="AL12" s="24"/>
      <c r="AM12" s="24"/>
      <c r="AQ12" s="18" t="s">
        <v>110</v>
      </c>
      <c r="AS12" s="142"/>
      <c r="AT12" s="24"/>
      <c r="AU12" s="24"/>
    </row>
    <row r="13" spans="3:157" ht="30" customHeight="1" x14ac:dyDescent="0.25">
      <c r="C13" s="14" t="s">
        <v>124</v>
      </c>
      <c r="D13" s="24"/>
      <c r="F13" s="43"/>
      <c r="G13" s="43"/>
      <c r="H13" s="24"/>
      <c r="I13" s="45"/>
      <c r="J13" s="45"/>
      <c r="K13" s="539" t="s">
        <v>44</v>
      </c>
      <c r="L13" s="540"/>
      <c r="M13" s="540"/>
      <c r="N13" s="540"/>
      <c r="O13" s="540"/>
      <c r="P13" s="540"/>
      <c r="Q13" s="541"/>
      <c r="R13" s="350" t="s">
        <v>45</v>
      </c>
      <c r="S13" s="250"/>
      <c r="T13" s="8">
        <v>125</v>
      </c>
      <c r="U13" s="351" t="s">
        <v>45</v>
      </c>
      <c r="V13" s="43"/>
      <c r="W13" s="8">
        <v>140</v>
      </c>
      <c r="X13" s="351" t="s">
        <v>45</v>
      </c>
      <c r="Y13" s="43"/>
      <c r="Z13" s="56">
        <v>150</v>
      </c>
      <c r="AA13" s="44"/>
      <c r="AB13" s="44"/>
      <c r="AC13" s="44"/>
      <c r="AD13" s="44"/>
      <c r="AE13" s="44"/>
      <c r="AF13" s="44"/>
      <c r="AG13" s="44"/>
      <c r="AH13" s="44"/>
      <c r="AI13" s="261"/>
      <c r="AJ13" s="44"/>
      <c r="AK13" s="141"/>
      <c r="AL13" s="24"/>
      <c r="AM13" s="24"/>
      <c r="AS13" s="142"/>
      <c r="AT13" s="24"/>
      <c r="AU13" s="552" t="s">
        <v>66</v>
      </c>
    </row>
    <row r="14" spans="3:157" ht="30" customHeight="1" thickBot="1" x14ac:dyDescent="0.3">
      <c r="C14" s="35"/>
      <c r="D14" s="61"/>
      <c r="E14" s="36"/>
      <c r="F14" s="37"/>
      <c r="G14" s="33"/>
      <c r="H14" s="33"/>
      <c r="I14" s="33"/>
      <c r="J14" s="33"/>
      <c r="K14" s="517" t="s">
        <v>43</v>
      </c>
      <c r="L14" s="518"/>
      <c r="M14" s="518"/>
      <c r="N14" s="518"/>
      <c r="O14" s="518"/>
      <c r="P14" s="518"/>
      <c r="Q14" s="519"/>
      <c r="R14" s="352" t="s">
        <v>47</v>
      </c>
      <c r="S14" s="248"/>
      <c r="T14" s="353">
        <v>6</v>
      </c>
      <c r="U14" s="354" t="s">
        <v>47</v>
      </c>
      <c r="V14" s="248"/>
      <c r="W14" s="353">
        <v>6</v>
      </c>
      <c r="X14" s="354" t="s">
        <v>47</v>
      </c>
      <c r="Y14" s="248"/>
      <c r="Z14" s="355">
        <v>6</v>
      </c>
      <c r="AA14" s="111"/>
      <c r="AB14" s="111"/>
      <c r="AC14" s="111"/>
      <c r="AD14" s="111"/>
      <c r="AE14" s="111"/>
      <c r="AF14" s="270" t="s">
        <v>117</v>
      </c>
      <c r="AG14" s="270" t="s">
        <v>117</v>
      </c>
      <c r="AH14" s="270" t="s">
        <v>117</v>
      </c>
      <c r="AI14" s="262"/>
      <c r="AJ14" s="111"/>
      <c r="AK14" s="143"/>
      <c r="AL14" s="24"/>
      <c r="AM14" s="24"/>
      <c r="AN14" s="470" t="s">
        <v>51</v>
      </c>
      <c r="AO14" s="470"/>
      <c r="AP14" s="470"/>
      <c r="AQ14" s="144"/>
      <c r="AR14" s="470" t="s">
        <v>52</v>
      </c>
      <c r="AS14" s="470"/>
      <c r="AT14" s="470"/>
      <c r="AU14" s="552"/>
      <c r="AV14" s="470" t="s">
        <v>53</v>
      </c>
      <c r="AW14" s="470"/>
      <c r="AX14" s="470"/>
      <c r="AY14" s="144"/>
      <c r="AZ14" s="470" t="s">
        <v>54</v>
      </c>
      <c r="BA14" s="470"/>
      <c r="BB14" s="470"/>
      <c r="BC14" s="144"/>
      <c r="BD14" s="470" t="s">
        <v>55</v>
      </c>
      <c r="BE14" s="470"/>
      <c r="BF14" s="470"/>
      <c r="BG14" s="144"/>
    </row>
    <row r="15" spans="3:157" s="52" customFormat="1" ht="67.5" customHeight="1" thickBot="1" x14ac:dyDescent="0.35">
      <c r="C15" s="80" t="s">
        <v>50</v>
      </c>
      <c r="D15" s="81" t="s">
        <v>0</v>
      </c>
      <c r="E15" s="28" t="s">
        <v>28</v>
      </c>
      <c r="F15" s="28" t="s">
        <v>11</v>
      </c>
      <c r="G15" s="529" t="s">
        <v>1</v>
      </c>
      <c r="H15" s="530"/>
      <c r="I15" s="530"/>
      <c r="J15" s="530"/>
      <c r="K15" s="531"/>
      <c r="L15" s="59" t="str">
        <f>+IF(K9="x","Rice 1, 2, or 3","QC Proctor 1, 2, or 3")</f>
        <v>QC Proctor 1, 2, or 3</v>
      </c>
      <c r="M15" s="59" t="s">
        <v>121</v>
      </c>
      <c r="N15" s="59" t="s">
        <v>122</v>
      </c>
      <c r="O15" s="78" t="s">
        <v>64</v>
      </c>
      <c r="P15" s="105" t="str">
        <f>+IF(K8="x","Probe Depth","Thin Lift Depth")</f>
        <v>Probe Depth</v>
      </c>
      <c r="Q15" s="105" t="str">
        <f>+IF(K9="X","Syst 1 count","Soil Density Count")</f>
        <v>Soil Density Count</v>
      </c>
      <c r="R15" s="356" t="str">
        <f>+IF(K9="X","Syst 2 count","Soil Moist Den Count")</f>
        <v>Soil Moist Den Count</v>
      </c>
      <c r="S15" s="357" t="str">
        <f>+IF(K9="X","Reported Density lbs/cu.ft.","Wet Density lbs/cu.ft.")</f>
        <v>Wet Density lbs/cu.ft.</v>
      </c>
      <c r="T15" s="358" t="str">
        <f>+(IF($K$9="x","HMA Calculated Densities",""))</f>
        <v/>
      </c>
      <c r="U15" s="359" t="str">
        <f>+IF(K9="x","","Moisture lbs/cu.ft.")</f>
        <v>Moisture lbs/cu.ft.</v>
      </c>
      <c r="V15" s="360" t="str">
        <f>+IF(K8="X","In Place             Dry Density lbs/cu. ft.","")</f>
        <v>In Place             Dry Density lbs/cu. ft.</v>
      </c>
      <c r="W15" s="358" t="str">
        <f>+IF(K9="x","","Moisture %")</f>
        <v>Moisture %</v>
      </c>
      <c r="X15" s="361" t="s">
        <v>5</v>
      </c>
      <c r="Y15" s="362" t="s">
        <v>2</v>
      </c>
      <c r="Z15" s="115" t="s">
        <v>41</v>
      </c>
      <c r="AA15" s="145"/>
      <c r="AB15" s="145"/>
      <c r="AC15" s="145"/>
      <c r="AD15" s="145"/>
      <c r="AE15" s="145"/>
      <c r="AF15" s="271">
        <v>1</v>
      </c>
      <c r="AG15" s="271">
        <v>2</v>
      </c>
      <c r="AH15" s="272">
        <v>3</v>
      </c>
      <c r="AI15" s="263"/>
      <c r="AJ15" s="146"/>
      <c r="AK15" s="147" t="s">
        <v>29</v>
      </c>
      <c r="AL15" s="148"/>
      <c r="AM15" s="149" t="s">
        <v>65</v>
      </c>
      <c r="AN15" s="150" t="s">
        <v>26</v>
      </c>
      <c r="AO15" s="151" t="s">
        <v>106</v>
      </c>
      <c r="AP15" s="152" t="s">
        <v>27</v>
      </c>
      <c r="AQ15" s="153" t="s">
        <v>65</v>
      </c>
      <c r="AR15" s="150" t="s">
        <v>26</v>
      </c>
      <c r="AS15" s="154" t="str">
        <f>+AO15</f>
        <v>count ratio</v>
      </c>
      <c r="AT15" s="150" t="s">
        <v>27</v>
      </c>
      <c r="AU15" s="153" t="s">
        <v>65</v>
      </c>
      <c r="AV15" s="150" t="s">
        <v>26</v>
      </c>
      <c r="AW15" s="154" t="str">
        <f>+AS15</f>
        <v>count ratio</v>
      </c>
      <c r="AX15" s="150" t="s">
        <v>27</v>
      </c>
      <c r="AY15" s="153" t="s">
        <v>65</v>
      </c>
      <c r="AZ15" s="150" t="s">
        <v>26</v>
      </c>
      <c r="BA15" s="154" t="str">
        <f>+AW15</f>
        <v>count ratio</v>
      </c>
      <c r="BB15" s="150" t="s">
        <v>27</v>
      </c>
      <c r="BC15" s="153" t="s">
        <v>65</v>
      </c>
      <c r="BD15" s="150" t="s">
        <v>26</v>
      </c>
      <c r="BE15" s="154" t="str">
        <f>+BA15</f>
        <v>count ratio</v>
      </c>
      <c r="BF15" s="152" t="s">
        <v>27</v>
      </c>
      <c r="BG15" s="152"/>
      <c r="BH15" s="82"/>
      <c r="BI15" s="82"/>
      <c r="BJ15" s="82"/>
      <c r="BK15" s="82"/>
      <c r="BM15" s="82"/>
      <c r="BN15" s="82"/>
      <c r="BO15" s="82"/>
      <c r="BP15" s="82"/>
      <c r="BQ15" s="82"/>
      <c r="BR15" s="82"/>
      <c r="BS15" s="83"/>
      <c r="BT15" s="83"/>
      <c r="BU15" s="83"/>
      <c r="BV15" s="83"/>
      <c r="BW15" s="83"/>
      <c r="BX15" s="83"/>
      <c r="BY15" s="82"/>
      <c r="BZ15" s="82"/>
      <c r="CA15" s="82"/>
      <c r="CB15" s="82"/>
      <c r="CC15" s="82"/>
      <c r="CD15" s="82"/>
      <c r="CE15" s="82"/>
      <c r="CF15" s="82"/>
      <c r="CG15" s="82"/>
      <c r="CH15" s="82"/>
      <c r="CI15" s="82"/>
      <c r="CJ15" s="82"/>
      <c r="CK15" s="82"/>
      <c r="CL15" s="82"/>
      <c r="CM15" s="82"/>
      <c r="CN15" s="82"/>
      <c r="CO15" s="82"/>
      <c r="CP15" s="82"/>
      <c r="CQ15" s="82"/>
      <c r="CR15" s="82"/>
      <c r="CS15" s="82"/>
      <c r="CT15" s="82"/>
      <c r="CU15" s="82"/>
      <c r="CV15" s="82"/>
      <c r="CW15" s="82"/>
      <c r="CX15" s="82"/>
      <c r="CY15" s="82"/>
      <c r="CZ15" s="82"/>
      <c r="DA15" s="82"/>
      <c r="DB15" s="82"/>
      <c r="DC15" s="82"/>
      <c r="DD15" s="82"/>
      <c r="DE15" s="82"/>
      <c r="DF15" s="82"/>
      <c r="DG15" s="82"/>
      <c r="DH15" s="82"/>
      <c r="DI15" s="82"/>
      <c r="DJ15" s="82"/>
      <c r="DK15" s="82"/>
      <c r="DL15" s="82"/>
      <c r="DM15" s="82"/>
      <c r="DN15" s="82"/>
      <c r="DO15" s="82"/>
      <c r="DP15" s="82"/>
      <c r="DQ15" s="82"/>
      <c r="DR15" s="82"/>
      <c r="DS15" s="82"/>
      <c r="DT15" s="82"/>
      <c r="DU15" s="82"/>
      <c r="DV15" s="82"/>
      <c r="DW15" s="82"/>
      <c r="DX15" s="82"/>
      <c r="DY15" s="82"/>
      <c r="DZ15" s="82"/>
      <c r="EA15" s="82"/>
      <c r="EB15" s="82"/>
      <c r="EC15" s="82"/>
      <c r="ED15" s="82"/>
      <c r="EE15" s="82"/>
      <c r="EF15" s="82"/>
      <c r="EG15" s="82"/>
      <c r="EH15" s="82"/>
      <c r="EI15" s="82"/>
      <c r="EJ15" s="82"/>
      <c r="EK15" s="82"/>
      <c r="EL15" s="82"/>
      <c r="EM15" s="82"/>
      <c r="EN15" s="82"/>
      <c r="EO15" s="82"/>
      <c r="EP15" s="82"/>
      <c r="EQ15" s="82"/>
      <c r="ER15" s="82"/>
      <c r="ES15" s="82"/>
      <c r="ET15" s="82"/>
      <c r="EU15" s="82"/>
      <c r="EV15" s="82"/>
      <c r="EW15" s="82"/>
      <c r="EX15" s="82"/>
      <c r="EY15" s="82"/>
      <c r="EZ15" s="82"/>
      <c r="FA15" s="82"/>
    </row>
    <row r="16" spans="3:157" s="50" customFormat="1" ht="24" customHeight="1" thickTop="1" thickBot="1" x14ac:dyDescent="0.3">
      <c r="C16" s="130">
        <v>1</v>
      </c>
      <c r="D16" s="443">
        <v>419</v>
      </c>
      <c r="E16" s="444">
        <v>42360</v>
      </c>
      <c r="F16" s="438">
        <v>502.02100000000002</v>
      </c>
      <c r="G16" s="492" t="s">
        <v>172</v>
      </c>
      <c r="H16" s="493"/>
      <c r="I16" s="493"/>
      <c r="J16" s="493"/>
      <c r="K16" s="494"/>
      <c r="L16" s="437">
        <v>1</v>
      </c>
      <c r="M16" s="437">
        <v>0</v>
      </c>
      <c r="N16" s="437"/>
      <c r="O16" s="437" t="s">
        <v>173</v>
      </c>
      <c r="P16" s="436">
        <v>8</v>
      </c>
      <c r="Q16" s="437">
        <v>978</v>
      </c>
      <c r="R16" s="440">
        <v>113</v>
      </c>
      <c r="S16" s="435">
        <v>141.80000000000001</v>
      </c>
      <c r="T16" s="344" t="str">
        <f>IF(E16="","",IF($K$8="X","",+'QC thin lift'!I28))</f>
        <v/>
      </c>
      <c r="U16" s="445">
        <v>12.6</v>
      </c>
      <c r="V16" s="125">
        <f t="shared" ref="V16:V45" si="0">+IF($K$9="x","",IF(S16=0,"",S16-U16))</f>
        <v>129.20000000000002</v>
      </c>
      <c r="W16" s="126">
        <f>+IF(V16="","",U16/V16)</f>
        <v>9.7523219814241474E-2</v>
      </c>
      <c r="X16" s="127">
        <f>IF(OR(L16="",R16="",Q16=""),"",ROUNDUP(IF(L16="","",IF($K$8="x",(IF(L16=1,V16/$T$9*100,IF(L16=2,V16/$W$9*100,IF(L16=3,V16/$Z$9*100)))),IF($K$9="x",(IF(L16=1,S16/$T$8*100,IF(L16=2,S16/$W$8*100,IF(L16=3,S16/$Z$8*100,""))))))),0))</f>
        <v>103</v>
      </c>
      <c r="Y16" s="128">
        <f>+IF(O16="","",IF(OR(O16="SG",O16="TP",O16="RG",O16="OG",O16="EMB"),90,IF(OR(O16="D",O16="FG",O16="FTG"),95,"")))</f>
        <v>95</v>
      </c>
      <c r="Z16" s="129" t="str">
        <f>IF(OR(E16="",S16="",R16="",Q16=""),"",IF(AND($K$9="x",Y16&lt;95),"ERR grade",IF(L16="","",+IF(AND($K$8="",$K$9=""),"",IF(X16&lt;Y16,"FAIL","PASS")))))</f>
        <v>PASS</v>
      </c>
      <c r="AA16" s="155"/>
      <c r="AB16" s="155">
        <f t="shared" ref="AB16:AB21" si="1">+V16*(1+W16)</f>
        <v>141.80000000000001</v>
      </c>
      <c r="AC16" s="155"/>
      <c r="AD16" s="155"/>
      <c r="AE16" s="155"/>
      <c r="AF16" s="156">
        <f>+IF(L16=1,S16,"")</f>
        <v>141.80000000000001</v>
      </c>
      <c r="AG16" s="156" t="str">
        <f>+IF(L16=2,S16,"")</f>
        <v/>
      </c>
      <c r="AH16" s="156" t="str">
        <f>+IF(L16=3,S16,"")</f>
        <v/>
      </c>
      <c r="AI16" s="156"/>
      <c r="AJ16" s="157">
        <v>1</v>
      </c>
      <c r="AK16" s="158">
        <f>+IF(E16="","",E16)</f>
        <v>42360</v>
      </c>
      <c r="AL16" s="159">
        <f>+C16</f>
        <v>1</v>
      </c>
      <c r="AM16" s="85">
        <f>+IF($L16="","",IF($L16=1,1,""))</f>
        <v>1</v>
      </c>
      <c r="AN16" s="163" t="str">
        <f t="shared" ref="AN16:AN45" si="2">+IF(AND(AM16=1,P16=4),4,"")</f>
        <v/>
      </c>
      <c r="AO16" s="161" t="str">
        <f t="shared" ref="AO16:AO45" si="3">+IF(AK16="","",IF(AND(AM16=1,AN16=4),+(Q16/VLOOKUP($AK16,$T$69:$U$73,2)),""))</f>
        <v/>
      </c>
      <c r="AP16" s="162" t="str">
        <f>+IF(AND(AM16=1,P16=4),+S16,"")</f>
        <v/>
      </c>
      <c r="AQ16" s="85">
        <f>+IF($L16="","",IF($L16=1,1,""))</f>
        <v>1</v>
      </c>
      <c r="AR16" s="160" t="str">
        <f>+IF(AND(AQ16=1,P16=6),6,"")</f>
        <v/>
      </c>
      <c r="AS16" s="161" t="str">
        <f t="shared" ref="AS16:AS45" si="4">+IF(AK16="","",IF(AND(AQ16=1,AR16=6),+(Q16/VLOOKUP($AK16,$T$69:$U$73,2)),""))</f>
        <v/>
      </c>
      <c r="AT16" s="160" t="str">
        <f>+IF(AND(AQ16=1,P16=6),+S16,"")</f>
        <v/>
      </c>
      <c r="AU16" s="85">
        <f>+IF($L16="","",IF($L16=1,1,""))</f>
        <v>1</v>
      </c>
      <c r="AV16" s="160">
        <f>+IF(AND(AU16=1,P16=8),8,"")</f>
        <v>8</v>
      </c>
      <c r="AW16" s="431">
        <f>+IF(AK16="","",IF(AND(AU16=1,AV16=8),+((Q16+VLOOKUP($AK16,$T$69:$U$73,2))),""))</f>
        <v>1978</v>
      </c>
      <c r="AX16" s="160">
        <f>+IF(AND(AU16=1,P16=8),+S16,"")</f>
        <v>141.80000000000001</v>
      </c>
      <c r="AY16" s="85">
        <f>+IF($L16="","",IF($L16=1,1,""))</f>
        <v>1</v>
      </c>
      <c r="AZ16" s="160" t="str">
        <f>+IF(AND(AY16=1,P16=10),10,"")</f>
        <v/>
      </c>
      <c r="BA16" s="161" t="str">
        <f t="shared" ref="BA16:BA45" si="5">+IF(AK16="","",IF(AND(AY16=1,AZ16=10),+(Q16/VLOOKUP($AK16,$T$69:$U$73,2)),""))</f>
        <v/>
      </c>
      <c r="BB16" s="160" t="str">
        <f>+IF(AND(AV16=1,P16=10),+S16,"")</f>
        <v/>
      </c>
      <c r="BC16" s="85">
        <f>+IF($L16="","",IF($L16=1,1,""))</f>
        <v>1</v>
      </c>
      <c r="BD16" s="160" t="str">
        <f>+IF(AND(BC16=1,P16=12),12,"")</f>
        <v/>
      </c>
      <c r="BE16" s="161" t="str">
        <f t="shared" ref="BE16:BE45" si="6">+IF(AK16="","",IF(AND(BC16=1,BD16=12),+(Q16/VLOOKUP($AK16,$T$69:$U$73,2)),""))</f>
        <v/>
      </c>
      <c r="BF16" s="163" t="str">
        <f>+IF(AND(BC16=1,P16=12),+S16,"")</f>
        <v/>
      </c>
      <c r="BG16" s="46"/>
      <c r="BH16" s="84"/>
      <c r="BI16" s="55"/>
      <c r="BJ16" s="55"/>
      <c r="BK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row>
    <row r="17" spans="1:157" s="50" customFormat="1" ht="24" customHeight="1" thickTop="1" thickBot="1" x14ac:dyDescent="0.3">
      <c r="C17" s="130">
        <f>+C16+1</f>
        <v>2</v>
      </c>
      <c r="D17" s="443">
        <v>419</v>
      </c>
      <c r="E17" s="444">
        <v>42360</v>
      </c>
      <c r="F17" s="438">
        <v>502.02100000000002</v>
      </c>
      <c r="G17" s="492" t="s">
        <v>172</v>
      </c>
      <c r="H17" s="493"/>
      <c r="I17" s="493"/>
      <c r="J17" s="493"/>
      <c r="K17" s="494"/>
      <c r="L17" s="437">
        <v>1</v>
      </c>
      <c r="M17" s="437">
        <v>0</v>
      </c>
      <c r="N17" s="437"/>
      <c r="O17" s="437" t="s">
        <v>173</v>
      </c>
      <c r="P17" s="436">
        <v>8</v>
      </c>
      <c r="Q17" s="437">
        <v>981</v>
      </c>
      <c r="R17" s="440">
        <v>119</v>
      </c>
      <c r="S17" s="435">
        <v>141.69999999999999</v>
      </c>
      <c r="T17" s="344" t="str">
        <f>IF(E17="","",IF($K$8="X","",+'QC thin lift'!I29))</f>
        <v/>
      </c>
      <c r="U17" s="445">
        <v>13.4</v>
      </c>
      <c r="V17" s="125">
        <f t="shared" si="0"/>
        <v>128.29999999999998</v>
      </c>
      <c r="W17" s="126">
        <f t="shared" ref="W17:W45" si="7">+IF(V17="","",U17/V17)</f>
        <v>0.10444271239282932</v>
      </c>
      <c r="X17" s="127">
        <f t="shared" ref="X17:X29" si="8">IF(OR(L17="",R17="",Q17=""),"",ROUNDUP(IF(L17="","",IF($K$8="x",(IF(L17=1,V17/$T$9*100,IF(L17=2,V17/$W$9*100,IF(L17=3,V17/$Z$9*100)))),IF($K$9="x",(IF(L17=1,S17/$T$8*100,IF(L17=2,S17/$W$8*100,IF(L17=3,S17/$Z$8*100,""))))))),0))</f>
        <v>102</v>
      </c>
      <c r="Y17" s="128">
        <f t="shared" ref="Y17:Y45" si="9">+IF(O17="","",IF(OR(O17="SG",O17="TP",O17="RG",O17="OG",O17="EMB"),90,IF(OR(O17="D",O17="FG",O17="FTG"),95,"")))</f>
        <v>95</v>
      </c>
      <c r="Z17" s="129" t="str">
        <f t="shared" ref="Z17:Z29" si="10">IF(OR(E17="",S17="",R17="",Q17=""),"",IF(AND($K$9="x",Y17&lt;95),"ERR grade",IF(L17="","",+IF(AND($K$8="",$K$9=""),"",IF(X17&lt;Y17,"FAIL","PASS")))))</f>
        <v>PASS</v>
      </c>
      <c r="AA17" s="164"/>
      <c r="AB17" s="155">
        <f t="shared" si="1"/>
        <v>141.69999999999999</v>
      </c>
      <c r="AC17" s="155"/>
      <c r="AD17" s="155"/>
      <c r="AE17" s="165"/>
      <c r="AF17" s="156">
        <f t="shared" ref="AF17:AF45" si="11">+IF(L17=1,S17,"")</f>
        <v>141.69999999999999</v>
      </c>
      <c r="AG17" s="156" t="str">
        <f t="shared" ref="AG17:AG45" si="12">+IF(L17=2,S17,"")</f>
        <v/>
      </c>
      <c r="AH17" s="156" t="str">
        <f t="shared" ref="AH17:AH45" si="13">+IF(L17=3,S17,"")</f>
        <v/>
      </c>
      <c r="AI17" s="156"/>
      <c r="AJ17" s="157">
        <f>+AJ16+1</f>
        <v>2</v>
      </c>
      <c r="AK17" s="158">
        <f t="shared" ref="AK17:AK45" si="14">+IF(E17="","",E17)</f>
        <v>42360</v>
      </c>
      <c r="AL17" s="159">
        <f t="shared" ref="AL17:AL45" si="15">+C17</f>
        <v>2</v>
      </c>
      <c r="AM17" s="166">
        <f t="shared" ref="AM17:AM45" si="16">+IF($L17="","",IF($L17=1,1,""))</f>
        <v>1</v>
      </c>
      <c r="AN17" s="163" t="str">
        <f t="shared" si="2"/>
        <v/>
      </c>
      <c r="AO17" s="161" t="str">
        <f t="shared" si="3"/>
        <v/>
      </c>
      <c r="AP17" s="162" t="str">
        <f t="shared" ref="AP17:AP34" si="17">+IF(AND(AM17=1,P17=4),+S17,"")</f>
        <v/>
      </c>
      <c r="AQ17" s="85">
        <f t="shared" ref="AQ17:AQ45" si="18">+IF($L17="","",IF($L17=1,1,""))</f>
        <v>1</v>
      </c>
      <c r="AR17" s="160" t="str">
        <f t="shared" ref="AR17:AR34" si="19">+IF(AND(AQ17=1,P17=6),6,"")</f>
        <v/>
      </c>
      <c r="AS17" s="161" t="str">
        <f t="shared" si="4"/>
        <v/>
      </c>
      <c r="AT17" s="160" t="str">
        <f t="shared" ref="AT17:AT34" si="20">+IF(AND(AQ17=1,P17=6),+S17,"")</f>
        <v/>
      </c>
      <c r="AU17" s="85">
        <f t="shared" ref="AU17:AU45" si="21">+IF($L17="","",IF($L17=1,1,""))</f>
        <v>1</v>
      </c>
      <c r="AV17" s="160">
        <f t="shared" ref="AV17:AV34" si="22">+IF(AND(AU17=1,P17=8),8,"")</f>
        <v>8</v>
      </c>
      <c r="AW17" s="431">
        <f t="shared" ref="AW17:AW45" si="23">+IF(AK17="","",IF(AND(AU17=1,AV17=8),+((Q17+VLOOKUP($AK17,$T$69:$U$73,2))),""))</f>
        <v>1981</v>
      </c>
      <c r="AX17" s="160">
        <f t="shared" ref="AX17:AX45" si="24">+IF(AND(AU17=1,P17=8),+S17,"")</f>
        <v>141.69999999999999</v>
      </c>
      <c r="AY17" s="85">
        <f t="shared" ref="AY17:AY45" si="25">+IF($L17="","",IF($L17=1,1,""))</f>
        <v>1</v>
      </c>
      <c r="AZ17" s="160" t="str">
        <f t="shared" ref="AZ17:AZ34" si="26">+IF(AND(AY17=1,P17=10),10,"")</f>
        <v/>
      </c>
      <c r="BA17" s="161" t="str">
        <f t="shared" si="5"/>
        <v/>
      </c>
      <c r="BB17" s="160" t="str">
        <f t="shared" ref="BB17:BB44" si="27">+IF(AND(AV17=1,P17=10),+S17,"")</f>
        <v/>
      </c>
      <c r="BC17" s="85">
        <f t="shared" ref="BC17:BC45" si="28">+IF($L17="","",IF($L17=1,1,""))</f>
        <v>1</v>
      </c>
      <c r="BD17" s="160" t="str">
        <f t="shared" ref="BD17:BD34" si="29">+IF(AND(BC17=1,P17=12),12,"")</f>
        <v/>
      </c>
      <c r="BE17" s="161" t="str">
        <f t="shared" si="6"/>
        <v/>
      </c>
      <c r="BF17" s="163" t="str">
        <f t="shared" ref="BF17:BF34" si="30">+IF(AND(BC17=1,P17=12),+S17,"")</f>
        <v/>
      </c>
      <c r="BG17" s="46"/>
      <c r="BH17" s="84"/>
      <c r="BI17" s="55"/>
      <c r="BJ17" s="55"/>
      <c r="BK17" s="55"/>
      <c r="BM17" s="55"/>
      <c r="BN17" s="55"/>
      <c r="BO17" s="55"/>
      <c r="BP17" s="55"/>
      <c r="BQ17" s="55"/>
      <c r="BR17" s="55"/>
      <c r="BS17" s="55"/>
      <c r="BT17" s="55"/>
      <c r="BU17" s="55"/>
      <c r="BV17" s="238">
        <v>42009</v>
      </c>
      <c r="BW17" s="55">
        <v>3</v>
      </c>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row>
    <row r="18" spans="1:157" s="167" customFormat="1" ht="24" customHeight="1" thickTop="1" thickBot="1" x14ac:dyDescent="0.3">
      <c r="A18" s="55"/>
      <c r="B18" s="55"/>
      <c r="C18" s="130">
        <f t="shared" ref="C18:C45" si="31">+C17+1</f>
        <v>3</v>
      </c>
      <c r="D18" s="442">
        <v>420</v>
      </c>
      <c r="E18" s="444">
        <v>42360</v>
      </c>
      <c r="F18" s="438">
        <v>502.02100000000002</v>
      </c>
      <c r="G18" s="492" t="s">
        <v>174</v>
      </c>
      <c r="H18" s="493"/>
      <c r="I18" s="493"/>
      <c r="J18" s="493"/>
      <c r="K18" s="494"/>
      <c r="L18" s="437">
        <v>1</v>
      </c>
      <c r="M18" s="437">
        <v>-1.5</v>
      </c>
      <c r="N18" s="437"/>
      <c r="O18" s="437" t="s">
        <v>173</v>
      </c>
      <c r="P18" s="436">
        <v>8</v>
      </c>
      <c r="Q18" s="437">
        <v>954</v>
      </c>
      <c r="R18" s="440">
        <v>114</v>
      </c>
      <c r="S18" s="435">
        <v>142.80000000000001</v>
      </c>
      <c r="T18" s="344" t="str">
        <f>IF(E18="","",IF($K$8="X","",+'QC thin lift'!I30))</f>
        <v/>
      </c>
      <c r="U18" s="445">
        <v>12.7</v>
      </c>
      <c r="V18" s="125">
        <f t="shared" si="0"/>
        <v>130.10000000000002</v>
      </c>
      <c r="W18" s="126">
        <f t="shared" si="7"/>
        <v>9.7617217524980759E-2</v>
      </c>
      <c r="X18" s="127">
        <f t="shared" si="8"/>
        <v>104</v>
      </c>
      <c r="Y18" s="128">
        <f t="shared" si="9"/>
        <v>95</v>
      </c>
      <c r="Z18" s="129" t="str">
        <f t="shared" si="10"/>
        <v>PASS</v>
      </c>
      <c r="AA18" s="164"/>
      <c r="AB18" s="155">
        <f t="shared" si="1"/>
        <v>142.80000000000001</v>
      </c>
      <c r="AC18" s="155"/>
      <c r="AD18" s="155"/>
      <c r="AE18" s="165"/>
      <c r="AF18" s="156">
        <f t="shared" si="11"/>
        <v>142.80000000000001</v>
      </c>
      <c r="AG18" s="156" t="str">
        <f t="shared" si="12"/>
        <v/>
      </c>
      <c r="AH18" s="156" t="str">
        <f t="shared" si="13"/>
        <v/>
      </c>
      <c r="AI18" s="156"/>
      <c r="AJ18" s="157">
        <f t="shared" ref="AJ18:AJ45" si="32">+AJ17+1</f>
        <v>3</v>
      </c>
      <c r="AK18" s="158">
        <f t="shared" si="14"/>
        <v>42360</v>
      </c>
      <c r="AL18" s="159">
        <f t="shared" si="15"/>
        <v>3</v>
      </c>
      <c r="AM18" s="166">
        <f t="shared" si="16"/>
        <v>1</v>
      </c>
      <c r="AN18" s="163" t="str">
        <f t="shared" si="2"/>
        <v/>
      </c>
      <c r="AO18" s="161" t="str">
        <f t="shared" si="3"/>
        <v/>
      </c>
      <c r="AP18" s="162" t="str">
        <f t="shared" si="17"/>
        <v/>
      </c>
      <c r="AQ18" s="85">
        <f t="shared" si="18"/>
        <v>1</v>
      </c>
      <c r="AR18" s="160" t="str">
        <f t="shared" si="19"/>
        <v/>
      </c>
      <c r="AS18" s="161" t="str">
        <f t="shared" si="4"/>
        <v/>
      </c>
      <c r="AT18" s="160" t="str">
        <f t="shared" si="20"/>
        <v/>
      </c>
      <c r="AU18" s="85">
        <f t="shared" si="21"/>
        <v>1</v>
      </c>
      <c r="AV18" s="160">
        <f t="shared" si="22"/>
        <v>8</v>
      </c>
      <c r="AW18" s="431">
        <f t="shared" si="23"/>
        <v>1954</v>
      </c>
      <c r="AX18" s="160">
        <f t="shared" si="24"/>
        <v>142.80000000000001</v>
      </c>
      <c r="AY18" s="85">
        <f t="shared" si="25"/>
        <v>1</v>
      </c>
      <c r="AZ18" s="160" t="str">
        <f t="shared" si="26"/>
        <v/>
      </c>
      <c r="BA18" s="161" t="str">
        <f t="shared" si="5"/>
        <v/>
      </c>
      <c r="BB18" s="160" t="str">
        <f t="shared" si="27"/>
        <v/>
      </c>
      <c r="BC18" s="85">
        <f t="shared" si="28"/>
        <v>1</v>
      </c>
      <c r="BD18" s="160" t="str">
        <f t="shared" si="29"/>
        <v/>
      </c>
      <c r="BE18" s="161" t="str">
        <f t="shared" si="6"/>
        <v/>
      </c>
      <c r="BF18" s="163" t="str">
        <f t="shared" si="30"/>
        <v/>
      </c>
      <c r="BG18" s="46"/>
      <c r="BH18" s="84"/>
      <c r="BI18" s="55"/>
      <c r="BJ18" s="55"/>
      <c r="BK18" s="55"/>
      <c r="BL18" s="50"/>
      <c r="BM18" s="55"/>
      <c r="BN18" s="55"/>
      <c r="BO18" s="55"/>
      <c r="BP18" s="55"/>
      <c r="BQ18" s="55"/>
      <c r="BR18" s="55"/>
      <c r="BS18" s="55"/>
      <c r="BT18" s="55"/>
      <c r="BU18" s="55"/>
      <c r="BV18" s="238">
        <v>42010</v>
      </c>
      <c r="BW18" s="55">
        <v>6</v>
      </c>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c r="EU18" s="55"/>
      <c r="EV18" s="55"/>
      <c r="EW18" s="55"/>
      <c r="EX18" s="55"/>
      <c r="EY18" s="55"/>
      <c r="EZ18" s="55"/>
      <c r="FA18" s="55"/>
    </row>
    <row r="19" spans="1:157" s="50" customFormat="1" ht="24" customHeight="1" thickTop="1" thickBot="1" x14ac:dyDescent="0.3">
      <c r="C19" s="130">
        <f t="shared" si="31"/>
        <v>4</v>
      </c>
      <c r="D19" s="442">
        <v>420</v>
      </c>
      <c r="E19" s="444">
        <v>42360</v>
      </c>
      <c r="F19" s="438">
        <v>502.02100000000002</v>
      </c>
      <c r="G19" s="492" t="s">
        <v>174</v>
      </c>
      <c r="H19" s="493"/>
      <c r="I19" s="493"/>
      <c r="J19" s="493"/>
      <c r="K19" s="494"/>
      <c r="L19" s="437">
        <v>1</v>
      </c>
      <c r="M19" s="437">
        <v>-1.5</v>
      </c>
      <c r="N19" s="437"/>
      <c r="O19" s="437" t="s">
        <v>173</v>
      </c>
      <c r="P19" s="436">
        <v>8</v>
      </c>
      <c r="Q19" s="437">
        <v>969</v>
      </c>
      <c r="R19" s="440">
        <v>116</v>
      </c>
      <c r="S19" s="435">
        <v>142.19999999999999</v>
      </c>
      <c r="T19" s="344" t="str">
        <f>IF(E19="","",IF($K$8="X","",+'QC thin lift'!I31))</f>
        <v/>
      </c>
      <c r="U19" s="445">
        <v>13</v>
      </c>
      <c r="V19" s="125">
        <f t="shared" si="0"/>
        <v>129.19999999999999</v>
      </c>
      <c r="W19" s="126">
        <f t="shared" si="7"/>
        <v>0.10061919504643964</v>
      </c>
      <c r="X19" s="127">
        <f t="shared" si="8"/>
        <v>103</v>
      </c>
      <c r="Y19" s="128">
        <f t="shared" si="9"/>
        <v>95</v>
      </c>
      <c r="Z19" s="129" t="str">
        <f t="shared" si="10"/>
        <v>PASS</v>
      </c>
      <c r="AA19" s="164"/>
      <c r="AB19" s="155">
        <f t="shared" si="1"/>
        <v>142.19999999999999</v>
      </c>
      <c r="AC19" s="155"/>
      <c r="AD19" s="155"/>
      <c r="AE19" s="165"/>
      <c r="AF19" s="156">
        <f t="shared" si="11"/>
        <v>142.19999999999999</v>
      </c>
      <c r="AG19" s="156" t="str">
        <f t="shared" si="12"/>
        <v/>
      </c>
      <c r="AH19" s="156" t="str">
        <f t="shared" si="13"/>
        <v/>
      </c>
      <c r="AI19" s="156"/>
      <c r="AJ19" s="157">
        <f t="shared" si="32"/>
        <v>4</v>
      </c>
      <c r="AK19" s="158">
        <f t="shared" si="14"/>
        <v>42360</v>
      </c>
      <c r="AL19" s="159">
        <f t="shared" si="15"/>
        <v>4</v>
      </c>
      <c r="AM19" s="166">
        <f t="shared" si="16"/>
        <v>1</v>
      </c>
      <c r="AN19" s="163" t="str">
        <f t="shared" si="2"/>
        <v/>
      </c>
      <c r="AO19" s="161" t="str">
        <f t="shared" si="3"/>
        <v/>
      </c>
      <c r="AP19" s="162" t="str">
        <f t="shared" si="17"/>
        <v/>
      </c>
      <c r="AQ19" s="85">
        <f t="shared" si="18"/>
        <v>1</v>
      </c>
      <c r="AR19" s="160" t="str">
        <f t="shared" si="19"/>
        <v/>
      </c>
      <c r="AS19" s="161" t="str">
        <f t="shared" si="4"/>
        <v/>
      </c>
      <c r="AT19" s="160" t="str">
        <f t="shared" si="20"/>
        <v/>
      </c>
      <c r="AU19" s="85">
        <f t="shared" si="21"/>
        <v>1</v>
      </c>
      <c r="AV19" s="160">
        <f t="shared" si="22"/>
        <v>8</v>
      </c>
      <c r="AW19" s="431">
        <f t="shared" si="23"/>
        <v>1969</v>
      </c>
      <c r="AX19" s="160">
        <f t="shared" si="24"/>
        <v>142.19999999999999</v>
      </c>
      <c r="AY19" s="85">
        <f t="shared" si="25"/>
        <v>1</v>
      </c>
      <c r="AZ19" s="160" t="str">
        <f t="shared" si="26"/>
        <v/>
      </c>
      <c r="BA19" s="161" t="str">
        <f t="shared" si="5"/>
        <v/>
      </c>
      <c r="BB19" s="160" t="str">
        <f t="shared" si="27"/>
        <v/>
      </c>
      <c r="BC19" s="85">
        <f t="shared" si="28"/>
        <v>1</v>
      </c>
      <c r="BD19" s="160" t="str">
        <f t="shared" si="29"/>
        <v/>
      </c>
      <c r="BE19" s="161" t="str">
        <f t="shared" si="6"/>
        <v/>
      </c>
      <c r="BF19" s="163" t="str">
        <f t="shared" si="30"/>
        <v/>
      </c>
      <c r="BG19" s="46"/>
      <c r="BH19" s="84"/>
      <c r="BI19" s="55"/>
      <c r="BJ19" s="55"/>
      <c r="BK19" s="55"/>
      <c r="BM19" s="55"/>
      <c r="BN19" s="55"/>
      <c r="BO19" s="55"/>
      <c r="BP19" s="55"/>
      <c r="BQ19" s="55"/>
      <c r="BR19" s="55"/>
      <c r="BS19" s="55"/>
      <c r="BT19" s="55"/>
      <c r="BU19" s="55"/>
      <c r="BV19" s="238">
        <v>42011</v>
      </c>
      <c r="BW19" s="55">
        <v>9</v>
      </c>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row>
    <row r="20" spans="1:157" s="50" customFormat="1" ht="24" customHeight="1" thickTop="1" thickBot="1" x14ac:dyDescent="0.3">
      <c r="C20" s="130">
        <f t="shared" si="31"/>
        <v>5</v>
      </c>
      <c r="D20" s="442">
        <v>421</v>
      </c>
      <c r="E20" s="444">
        <v>42360</v>
      </c>
      <c r="F20" s="438">
        <v>502.02100000000002</v>
      </c>
      <c r="G20" s="492" t="s">
        <v>175</v>
      </c>
      <c r="H20" s="493"/>
      <c r="I20" s="493"/>
      <c r="J20" s="493"/>
      <c r="K20" s="494"/>
      <c r="L20" s="437">
        <v>1</v>
      </c>
      <c r="M20" s="437">
        <v>-1</v>
      </c>
      <c r="N20" s="433"/>
      <c r="O20" s="437" t="s">
        <v>173</v>
      </c>
      <c r="P20" s="436">
        <v>8</v>
      </c>
      <c r="Q20" s="437">
        <v>847</v>
      </c>
      <c r="R20" s="440">
        <v>116</v>
      </c>
      <c r="S20" s="435">
        <v>147.19999999999999</v>
      </c>
      <c r="T20" s="344" t="str">
        <f>IF(E20="","",IF($K$8="X","",+'QC thin lift'!I32))</f>
        <v/>
      </c>
      <c r="U20" s="445">
        <v>13</v>
      </c>
      <c r="V20" s="125">
        <f t="shared" si="0"/>
        <v>134.19999999999999</v>
      </c>
      <c r="W20" s="126">
        <f t="shared" si="7"/>
        <v>9.6870342771982129E-2</v>
      </c>
      <c r="X20" s="127">
        <f t="shared" si="8"/>
        <v>107</v>
      </c>
      <c r="Y20" s="128">
        <f t="shared" si="9"/>
        <v>95</v>
      </c>
      <c r="Z20" s="129" t="str">
        <f t="shared" si="10"/>
        <v>PASS</v>
      </c>
      <c r="AA20" s="164"/>
      <c r="AB20" s="155">
        <f t="shared" si="1"/>
        <v>147.19999999999999</v>
      </c>
      <c r="AC20" s="155"/>
      <c r="AD20" s="155"/>
      <c r="AE20" s="165"/>
      <c r="AF20" s="156">
        <f t="shared" si="11"/>
        <v>147.19999999999999</v>
      </c>
      <c r="AG20" s="156" t="str">
        <f t="shared" si="12"/>
        <v/>
      </c>
      <c r="AH20" s="156" t="str">
        <f t="shared" si="13"/>
        <v/>
      </c>
      <c r="AI20" s="156"/>
      <c r="AJ20" s="157">
        <f t="shared" si="32"/>
        <v>5</v>
      </c>
      <c r="AK20" s="158">
        <f t="shared" si="14"/>
        <v>42360</v>
      </c>
      <c r="AL20" s="159">
        <f t="shared" si="15"/>
        <v>5</v>
      </c>
      <c r="AM20" s="166">
        <f t="shared" si="16"/>
        <v>1</v>
      </c>
      <c r="AN20" s="163" t="str">
        <f t="shared" si="2"/>
        <v/>
      </c>
      <c r="AO20" s="161" t="str">
        <f t="shared" si="3"/>
        <v/>
      </c>
      <c r="AP20" s="162" t="str">
        <f t="shared" si="17"/>
        <v/>
      </c>
      <c r="AQ20" s="85">
        <f t="shared" si="18"/>
        <v>1</v>
      </c>
      <c r="AR20" s="160" t="str">
        <f t="shared" si="19"/>
        <v/>
      </c>
      <c r="AS20" s="161" t="str">
        <f t="shared" si="4"/>
        <v/>
      </c>
      <c r="AT20" s="160" t="str">
        <f t="shared" si="20"/>
        <v/>
      </c>
      <c r="AU20" s="85">
        <f t="shared" si="21"/>
        <v>1</v>
      </c>
      <c r="AV20" s="160">
        <f t="shared" si="22"/>
        <v>8</v>
      </c>
      <c r="AW20" s="431">
        <f t="shared" si="23"/>
        <v>1847</v>
      </c>
      <c r="AX20" s="160">
        <f t="shared" si="24"/>
        <v>147.19999999999999</v>
      </c>
      <c r="AY20" s="85">
        <f t="shared" si="25"/>
        <v>1</v>
      </c>
      <c r="AZ20" s="160" t="str">
        <f t="shared" si="26"/>
        <v/>
      </c>
      <c r="BA20" s="161" t="str">
        <f t="shared" si="5"/>
        <v/>
      </c>
      <c r="BB20" s="160" t="str">
        <f t="shared" si="27"/>
        <v/>
      </c>
      <c r="BC20" s="85">
        <f t="shared" si="28"/>
        <v>1</v>
      </c>
      <c r="BD20" s="160" t="str">
        <f t="shared" si="29"/>
        <v/>
      </c>
      <c r="BE20" s="161" t="str">
        <f t="shared" si="6"/>
        <v/>
      </c>
      <c r="BF20" s="163" t="str">
        <f t="shared" si="30"/>
        <v/>
      </c>
      <c r="BG20" s="46"/>
      <c r="BH20" s="84"/>
      <c r="BI20" s="55"/>
      <c r="BJ20" s="55"/>
      <c r="BK20" s="55"/>
      <c r="BM20" s="55"/>
      <c r="BN20" s="55"/>
      <c r="BO20" s="55"/>
      <c r="BP20" s="55"/>
      <c r="BQ20" s="55"/>
      <c r="BR20" s="55"/>
      <c r="BS20" s="55"/>
      <c r="BT20" s="55"/>
      <c r="BU20" s="55"/>
      <c r="BV20" s="238"/>
      <c r="BW20" s="55">
        <v>4</v>
      </c>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row>
    <row r="21" spans="1:157" s="167" customFormat="1" ht="24" customHeight="1" thickTop="1" thickBot="1" x14ac:dyDescent="0.3">
      <c r="A21" s="55"/>
      <c r="B21" s="55"/>
      <c r="C21" s="130">
        <f t="shared" si="31"/>
        <v>6</v>
      </c>
      <c r="D21" s="442">
        <v>421</v>
      </c>
      <c r="E21" s="444">
        <v>42360</v>
      </c>
      <c r="F21" s="438">
        <v>502.02100000000002</v>
      </c>
      <c r="G21" s="492" t="s">
        <v>175</v>
      </c>
      <c r="H21" s="493"/>
      <c r="I21" s="493"/>
      <c r="J21" s="493"/>
      <c r="K21" s="494"/>
      <c r="L21" s="437">
        <v>1</v>
      </c>
      <c r="M21" s="437">
        <v>-1</v>
      </c>
      <c r="N21" s="437"/>
      <c r="O21" s="437" t="s">
        <v>173</v>
      </c>
      <c r="P21" s="436">
        <v>8</v>
      </c>
      <c r="Q21" s="437">
        <v>851</v>
      </c>
      <c r="R21" s="440">
        <v>117</v>
      </c>
      <c r="S21" s="435">
        <v>147</v>
      </c>
      <c r="T21" s="344" t="str">
        <f>IF(E21="","",IF($K$8="X","",+'QC thin lift'!I33))</f>
        <v/>
      </c>
      <c r="U21" s="445">
        <v>13.2</v>
      </c>
      <c r="V21" s="125">
        <f t="shared" si="0"/>
        <v>133.80000000000001</v>
      </c>
      <c r="W21" s="126">
        <f t="shared" si="7"/>
        <v>9.8654708520179352E-2</v>
      </c>
      <c r="X21" s="127">
        <f t="shared" si="8"/>
        <v>107</v>
      </c>
      <c r="Y21" s="128">
        <f t="shared" si="9"/>
        <v>95</v>
      </c>
      <c r="Z21" s="129" t="str">
        <f t="shared" si="10"/>
        <v>PASS</v>
      </c>
      <c r="AA21" s="164"/>
      <c r="AB21" s="155">
        <f t="shared" si="1"/>
        <v>147.00000000000003</v>
      </c>
      <c r="AC21" s="155"/>
      <c r="AD21" s="155"/>
      <c r="AE21" s="165"/>
      <c r="AF21" s="156">
        <f t="shared" si="11"/>
        <v>147</v>
      </c>
      <c r="AG21" s="156" t="str">
        <f t="shared" si="12"/>
        <v/>
      </c>
      <c r="AH21" s="156" t="str">
        <f t="shared" si="13"/>
        <v/>
      </c>
      <c r="AI21" s="156"/>
      <c r="AJ21" s="157">
        <f t="shared" si="32"/>
        <v>6</v>
      </c>
      <c r="AK21" s="158">
        <f t="shared" si="14"/>
        <v>42360</v>
      </c>
      <c r="AL21" s="159">
        <f t="shared" si="15"/>
        <v>6</v>
      </c>
      <c r="AM21" s="166">
        <f t="shared" si="16"/>
        <v>1</v>
      </c>
      <c r="AN21" s="163" t="str">
        <f t="shared" si="2"/>
        <v/>
      </c>
      <c r="AO21" s="161" t="str">
        <f t="shared" si="3"/>
        <v/>
      </c>
      <c r="AP21" s="162" t="str">
        <f t="shared" si="17"/>
        <v/>
      </c>
      <c r="AQ21" s="85">
        <f t="shared" si="18"/>
        <v>1</v>
      </c>
      <c r="AR21" s="160" t="str">
        <f t="shared" si="19"/>
        <v/>
      </c>
      <c r="AS21" s="161" t="str">
        <f t="shared" si="4"/>
        <v/>
      </c>
      <c r="AT21" s="160" t="str">
        <f t="shared" si="20"/>
        <v/>
      </c>
      <c r="AU21" s="85">
        <f t="shared" si="21"/>
        <v>1</v>
      </c>
      <c r="AV21" s="160">
        <f t="shared" si="22"/>
        <v>8</v>
      </c>
      <c r="AW21" s="431">
        <f t="shared" si="23"/>
        <v>1851</v>
      </c>
      <c r="AX21" s="160">
        <f t="shared" si="24"/>
        <v>147</v>
      </c>
      <c r="AY21" s="85">
        <f t="shared" si="25"/>
        <v>1</v>
      </c>
      <c r="AZ21" s="160" t="str">
        <f t="shared" si="26"/>
        <v/>
      </c>
      <c r="BA21" s="161" t="str">
        <f t="shared" si="5"/>
        <v/>
      </c>
      <c r="BB21" s="160" t="str">
        <f t="shared" si="27"/>
        <v/>
      </c>
      <c r="BC21" s="85">
        <f t="shared" si="28"/>
        <v>1</v>
      </c>
      <c r="BD21" s="160" t="str">
        <f t="shared" si="29"/>
        <v/>
      </c>
      <c r="BE21" s="161" t="str">
        <f t="shared" si="6"/>
        <v/>
      </c>
      <c r="BF21" s="163" t="str">
        <f t="shared" si="30"/>
        <v/>
      </c>
      <c r="BG21" s="46"/>
      <c r="BH21" s="84"/>
      <c r="BI21" s="55"/>
      <c r="BJ21" s="55"/>
      <c r="BK21" s="55"/>
      <c r="BL21" s="50"/>
      <c r="BM21" s="55"/>
      <c r="BN21" s="55"/>
      <c r="BO21" s="55"/>
      <c r="BP21" s="55"/>
      <c r="BQ21" s="55"/>
      <c r="BR21" s="55"/>
      <c r="BS21" s="55"/>
      <c r="BT21" s="55"/>
      <c r="BU21" s="55"/>
      <c r="BV21" s="238"/>
      <c r="BW21" s="55">
        <v>1</v>
      </c>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row>
    <row r="22" spans="1:157" s="50" customFormat="1" ht="24" customHeight="1" thickTop="1" thickBot="1" x14ac:dyDescent="0.3">
      <c r="C22" s="130">
        <f t="shared" si="31"/>
        <v>7</v>
      </c>
      <c r="D22" s="442">
        <v>422</v>
      </c>
      <c r="E22" s="444">
        <v>42361</v>
      </c>
      <c r="F22" s="438">
        <v>502.02100000000002</v>
      </c>
      <c r="G22" s="492" t="s">
        <v>176</v>
      </c>
      <c r="H22" s="493"/>
      <c r="I22" s="493"/>
      <c r="J22" s="493"/>
      <c r="K22" s="494"/>
      <c r="L22" s="437">
        <v>1</v>
      </c>
      <c r="M22" s="437">
        <v>-1</v>
      </c>
      <c r="N22" s="437"/>
      <c r="O22" s="437" t="s">
        <v>173</v>
      </c>
      <c r="P22" s="436">
        <v>8</v>
      </c>
      <c r="Q22" s="437">
        <v>988</v>
      </c>
      <c r="R22" s="440">
        <v>130</v>
      </c>
      <c r="S22" s="435">
        <v>141.19999999999999</v>
      </c>
      <c r="T22" s="344" t="str">
        <f>IF(E22="","",IF($K$8="X","",+'QC thin lift'!I34))</f>
        <v/>
      </c>
      <c r="U22" s="445">
        <v>15</v>
      </c>
      <c r="V22" s="125">
        <f t="shared" si="0"/>
        <v>126.19999999999999</v>
      </c>
      <c r="W22" s="126">
        <f t="shared" si="7"/>
        <v>0.11885895404120445</v>
      </c>
      <c r="X22" s="127">
        <f t="shared" si="8"/>
        <v>101</v>
      </c>
      <c r="Y22" s="128">
        <f t="shared" si="9"/>
        <v>95</v>
      </c>
      <c r="Z22" s="129" t="str">
        <f t="shared" si="10"/>
        <v>PASS</v>
      </c>
      <c r="AA22" s="164"/>
      <c r="AB22" s="165"/>
      <c r="AC22" s="165"/>
      <c r="AD22" s="165"/>
      <c r="AE22" s="165"/>
      <c r="AF22" s="156">
        <f t="shared" si="11"/>
        <v>141.19999999999999</v>
      </c>
      <c r="AG22" s="156" t="str">
        <f t="shared" si="12"/>
        <v/>
      </c>
      <c r="AH22" s="156" t="str">
        <f t="shared" si="13"/>
        <v/>
      </c>
      <c r="AI22" s="156">
        <f>+IF(L22=1,X22,"")</f>
        <v>101</v>
      </c>
      <c r="AJ22" s="157">
        <f t="shared" si="32"/>
        <v>7</v>
      </c>
      <c r="AK22" s="158">
        <f t="shared" si="14"/>
        <v>42361</v>
      </c>
      <c r="AL22" s="159">
        <f t="shared" si="15"/>
        <v>7</v>
      </c>
      <c r="AM22" s="166">
        <f t="shared" si="16"/>
        <v>1</v>
      </c>
      <c r="AN22" s="163" t="str">
        <f t="shared" si="2"/>
        <v/>
      </c>
      <c r="AO22" s="161" t="str">
        <f t="shared" si="3"/>
        <v/>
      </c>
      <c r="AP22" s="162" t="str">
        <f t="shared" si="17"/>
        <v/>
      </c>
      <c r="AQ22" s="85">
        <f t="shared" si="18"/>
        <v>1</v>
      </c>
      <c r="AR22" s="160" t="str">
        <f t="shared" si="19"/>
        <v/>
      </c>
      <c r="AS22" s="161" t="str">
        <f t="shared" si="4"/>
        <v/>
      </c>
      <c r="AT22" s="160" t="str">
        <f t="shared" si="20"/>
        <v/>
      </c>
      <c r="AU22" s="85">
        <f t="shared" si="21"/>
        <v>1</v>
      </c>
      <c r="AV22" s="160">
        <f t="shared" si="22"/>
        <v>8</v>
      </c>
      <c r="AW22" s="431">
        <f t="shared" si="23"/>
        <v>2188</v>
      </c>
      <c r="AX22" s="160">
        <f t="shared" si="24"/>
        <v>141.19999999999999</v>
      </c>
      <c r="AY22" s="85">
        <f t="shared" si="25"/>
        <v>1</v>
      </c>
      <c r="AZ22" s="160" t="str">
        <f t="shared" si="26"/>
        <v/>
      </c>
      <c r="BA22" s="161" t="str">
        <f t="shared" si="5"/>
        <v/>
      </c>
      <c r="BB22" s="160" t="str">
        <f t="shared" si="27"/>
        <v/>
      </c>
      <c r="BC22" s="85">
        <f t="shared" si="28"/>
        <v>1</v>
      </c>
      <c r="BD22" s="160" t="str">
        <f t="shared" si="29"/>
        <v/>
      </c>
      <c r="BE22" s="161" t="str">
        <f t="shared" si="6"/>
        <v/>
      </c>
      <c r="BF22" s="163" t="str">
        <f t="shared" si="30"/>
        <v/>
      </c>
      <c r="BG22" s="46"/>
      <c r="BH22" s="84"/>
      <c r="BI22" s="55"/>
      <c r="BJ22" s="55"/>
      <c r="BK22" s="55"/>
      <c r="BM22" s="55"/>
      <c r="BN22" s="55"/>
      <c r="BO22" s="55"/>
      <c r="BP22" s="55"/>
      <c r="BQ22" s="55"/>
      <c r="BR22" s="55"/>
      <c r="BS22" s="55"/>
      <c r="BT22" s="55"/>
      <c r="BU22" s="55"/>
      <c r="BV22" s="238"/>
      <c r="BW22" s="55">
        <v>2</v>
      </c>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5"/>
      <c r="EB22" s="55"/>
      <c r="EC22" s="55"/>
      <c r="ED22" s="55"/>
      <c r="EE22" s="55"/>
      <c r="EF22" s="55"/>
      <c r="EG22" s="55"/>
      <c r="EH22" s="55"/>
      <c r="EI22" s="55"/>
      <c r="EJ22" s="55"/>
      <c r="EK22" s="55"/>
      <c r="EL22" s="55"/>
      <c r="EM22" s="55"/>
      <c r="EN22" s="55"/>
      <c r="EO22" s="55"/>
      <c r="EP22" s="55"/>
      <c r="EQ22" s="55"/>
      <c r="ER22" s="55"/>
      <c r="ES22" s="55"/>
      <c r="ET22" s="55"/>
      <c r="EU22" s="55"/>
      <c r="EV22" s="55"/>
      <c r="EW22" s="55"/>
      <c r="EX22" s="55"/>
      <c r="EY22" s="55"/>
      <c r="EZ22" s="55"/>
      <c r="FA22" s="55"/>
    </row>
    <row r="23" spans="1:157" s="50" customFormat="1" ht="24" customHeight="1" thickTop="1" thickBot="1" x14ac:dyDescent="0.3">
      <c r="C23" s="130">
        <f t="shared" si="31"/>
        <v>8</v>
      </c>
      <c r="D23" s="442">
        <v>422</v>
      </c>
      <c r="E23" s="444">
        <v>42361</v>
      </c>
      <c r="F23" s="438">
        <v>502.02100000000002</v>
      </c>
      <c r="G23" s="492" t="s">
        <v>176</v>
      </c>
      <c r="H23" s="493"/>
      <c r="I23" s="493"/>
      <c r="J23" s="493"/>
      <c r="K23" s="494"/>
      <c r="L23" s="437">
        <v>1</v>
      </c>
      <c r="M23" s="437">
        <v>-1</v>
      </c>
      <c r="N23" s="437"/>
      <c r="O23" s="437" t="s">
        <v>173</v>
      </c>
      <c r="P23" s="436">
        <v>8</v>
      </c>
      <c r="Q23" s="437">
        <v>1000</v>
      </c>
      <c r="R23" s="440">
        <v>128</v>
      </c>
      <c r="S23" s="435">
        <v>140.80000000000001</v>
      </c>
      <c r="T23" s="344" t="str">
        <f>IF(E23="","",IF($K$8="X","",+'QC thin lift'!I35))</f>
        <v/>
      </c>
      <c r="U23" s="445">
        <v>14.7</v>
      </c>
      <c r="V23" s="125">
        <f t="shared" si="0"/>
        <v>126.10000000000001</v>
      </c>
      <c r="W23" s="126">
        <f t="shared" si="7"/>
        <v>0.11657414750198254</v>
      </c>
      <c r="X23" s="127">
        <f t="shared" si="8"/>
        <v>101</v>
      </c>
      <c r="Y23" s="128">
        <f t="shared" si="9"/>
        <v>95</v>
      </c>
      <c r="Z23" s="129" t="str">
        <f t="shared" si="10"/>
        <v>PASS</v>
      </c>
      <c r="AA23" s="164"/>
      <c r="AB23" s="165"/>
      <c r="AC23" s="165"/>
      <c r="AD23" s="165"/>
      <c r="AE23" s="165"/>
      <c r="AF23" s="156">
        <f t="shared" si="11"/>
        <v>140.80000000000001</v>
      </c>
      <c r="AG23" s="156" t="str">
        <f t="shared" si="12"/>
        <v/>
      </c>
      <c r="AH23" s="156" t="str">
        <f t="shared" si="13"/>
        <v/>
      </c>
      <c r="AI23" s="156">
        <f>+IF(L23=1,X23,"")</f>
        <v>101</v>
      </c>
      <c r="AJ23" s="157">
        <f t="shared" si="32"/>
        <v>8</v>
      </c>
      <c r="AK23" s="158">
        <f t="shared" si="14"/>
        <v>42361</v>
      </c>
      <c r="AL23" s="159">
        <f t="shared" si="15"/>
        <v>8</v>
      </c>
      <c r="AM23" s="166">
        <f t="shared" si="16"/>
        <v>1</v>
      </c>
      <c r="AN23" s="163" t="str">
        <f t="shared" si="2"/>
        <v/>
      </c>
      <c r="AO23" s="161" t="str">
        <f t="shared" si="3"/>
        <v/>
      </c>
      <c r="AP23" s="162" t="str">
        <f t="shared" si="17"/>
        <v/>
      </c>
      <c r="AQ23" s="85">
        <f t="shared" si="18"/>
        <v>1</v>
      </c>
      <c r="AR23" s="160" t="str">
        <f t="shared" si="19"/>
        <v/>
      </c>
      <c r="AS23" s="161" t="str">
        <f t="shared" si="4"/>
        <v/>
      </c>
      <c r="AT23" s="160" t="str">
        <f t="shared" si="20"/>
        <v/>
      </c>
      <c r="AU23" s="85">
        <f t="shared" si="21"/>
        <v>1</v>
      </c>
      <c r="AV23" s="160">
        <f t="shared" si="22"/>
        <v>8</v>
      </c>
      <c r="AW23" s="431">
        <f t="shared" si="23"/>
        <v>2200</v>
      </c>
      <c r="AX23" s="160">
        <f t="shared" si="24"/>
        <v>140.80000000000001</v>
      </c>
      <c r="AY23" s="85">
        <f t="shared" si="25"/>
        <v>1</v>
      </c>
      <c r="AZ23" s="160" t="str">
        <f t="shared" si="26"/>
        <v/>
      </c>
      <c r="BA23" s="161" t="str">
        <f t="shared" si="5"/>
        <v/>
      </c>
      <c r="BB23" s="160" t="str">
        <f t="shared" si="27"/>
        <v/>
      </c>
      <c r="BC23" s="85">
        <f t="shared" si="28"/>
        <v>1</v>
      </c>
      <c r="BD23" s="160" t="str">
        <f t="shared" si="29"/>
        <v/>
      </c>
      <c r="BE23" s="161" t="str">
        <f t="shared" si="6"/>
        <v/>
      </c>
      <c r="BF23" s="163" t="str">
        <f t="shared" si="30"/>
        <v/>
      </c>
      <c r="BG23" s="46"/>
      <c r="BH23" s="84"/>
      <c r="BI23" s="55"/>
      <c r="BJ23" s="55"/>
      <c r="BK23" s="55"/>
      <c r="BM23" s="55"/>
      <c r="BN23" s="55"/>
      <c r="BO23" s="55"/>
      <c r="BP23" s="55"/>
      <c r="BQ23" s="55"/>
      <c r="BR23" s="55"/>
      <c r="BS23" s="55"/>
      <c r="BT23" s="55"/>
      <c r="BU23" s="55"/>
      <c r="BV23" s="238"/>
      <c r="BW23" s="55">
        <v>9</v>
      </c>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c r="DJ23" s="55"/>
      <c r="DK23" s="55"/>
      <c r="DL23" s="55"/>
      <c r="DM23" s="55"/>
      <c r="DN23" s="55"/>
      <c r="DO23" s="55"/>
      <c r="DP23" s="55"/>
      <c r="DQ23" s="55"/>
      <c r="DR23" s="55"/>
      <c r="DS23" s="55"/>
      <c r="DT23" s="55"/>
      <c r="DU23" s="55"/>
      <c r="DV23" s="55"/>
      <c r="DW23" s="55"/>
      <c r="DX23" s="55"/>
      <c r="DY23" s="55"/>
      <c r="DZ23" s="55"/>
      <c r="EA23" s="55"/>
      <c r="EB23" s="55"/>
      <c r="EC23" s="55"/>
      <c r="ED23" s="55"/>
      <c r="EE23" s="55"/>
      <c r="EF23" s="55"/>
      <c r="EG23" s="55"/>
      <c r="EH23" s="55"/>
      <c r="EI23" s="55"/>
      <c r="EJ23" s="55"/>
      <c r="EK23" s="55"/>
      <c r="EL23" s="55"/>
      <c r="EM23" s="55"/>
      <c r="EN23" s="55"/>
      <c r="EO23" s="55"/>
      <c r="EP23" s="55"/>
      <c r="EQ23" s="55"/>
      <c r="ER23" s="55"/>
      <c r="ES23" s="55"/>
      <c r="ET23" s="55"/>
      <c r="EU23" s="55"/>
      <c r="EV23" s="55"/>
      <c r="EW23" s="55"/>
      <c r="EX23" s="55"/>
      <c r="EY23" s="55"/>
      <c r="EZ23" s="55"/>
      <c r="FA23" s="55"/>
    </row>
    <row r="24" spans="1:157" s="167" customFormat="1" ht="24" customHeight="1" thickTop="1" thickBot="1" x14ac:dyDescent="0.3">
      <c r="A24" s="55"/>
      <c r="B24" s="55"/>
      <c r="C24" s="130">
        <f t="shared" si="31"/>
        <v>9</v>
      </c>
      <c r="D24" s="434">
        <v>423</v>
      </c>
      <c r="E24" s="444">
        <v>42361</v>
      </c>
      <c r="F24" s="438">
        <v>502.02100000000002</v>
      </c>
      <c r="G24" s="492" t="s">
        <v>177</v>
      </c>
      <c r="H24" s="493"/>
      <c r="I24" s="493"/>
      <c r="J24" s="493"/>
      <c r="K24" s="494"/>
      <c r="L24" s="437">
        <v>1</v>
      </c>
      <c r="M24" s="437">
        <v>0</v>
      </c>
      <c r="N24" s="437"/>
      <c r="O24" s="437" t="s">
        <v>173</v>
      </c>
      <c r="P24" s="436">
        <v>8</v>
      </c>
      <c r="Q24" s="437">
        <v>940</v>
      </c>
      <c r="R24" s="440">
        <v>125</v>
      </c>
      <c r="S24" s="435">
        <v>143.19999999999999</v>
      </c>
      <c r="T24" s="344" t="str">
        <f>IF(E24="","",IF($K$8="X","",+'QC thin lift'!I36))</f>
        <v/>
      </c>
      <c r="U24" s="445">
        <v>14.3</v>
      </c>
      <c r="V24" s="125">
        <f t="shared" si="0"/>
        <v>128.89999999999998</v>
      </c>
      <c r="W24" s="126">
        <f t="shared" si="7"/>
        <v>0.11093871217998451</v>
      </c>
      <c r="X24" s="127">
        <f t="shared" si="8"/>
        <v>103</v>
      </c>
      <c r="Y24" s="128">
        <f t="shared" si="9"/>
        <v>95</v>
      </c>
      <c r="Z24" s="129" t="str">
        <f t="shared" si="10"/>
        <v>PASS</v>
      </c>
      <c r="AA24" s="164"/>
      <c r="AB24" s="165"/>
      <c r="AC24" s="165" t="e">
        <f>RSQ(S16:S25,T16:T25)</f>
        <v>#DIV/0!</v>
      </c>
      <c r="AD24" s="165"/>
      <c r="AE24" s="165"/>
      <c r="AF24" s="156">
        <f t="shared" si="11"/>
        <v>143.19999999999999</v>
      </c>
      <c r="AG24" s="156" t="str">
        <f t="shared" si="12"/>
        <v/>
      </c>
      <c r="AH24" s="156" t="str">
        <f t="shared" si="13"/>
        <v/>
      </c>
      <c r="AI24" s="156">
        <f>+IF(L24=1,X24,"")</f>
        <v>103</v>
      </c>
      <c r="AJ24" s="157">
        <f t="shared" si="32"/>
        <v>9</v>
      </c>
      <c r="AK24" s="158">
        <f t="shared" si="14"/>
        <v>42361</v>
      </c>
      <c r="AL24" s="159">
        <f t="shared" si="15"/>
        <v>9</v>
      </c>
      <c r="AM24" s="166">
        <f t="shared" si="16"/>
        <v>1</v>
      </c>
      <c r="AN24" s="163" t="str">
        <f t="shared" si="2"/>
        <v/>
      </c>
      <c r="AO24" s="161" t="str">
        <f t="shared" si="3"/>
        <v/>
      </c>
      <c r="AP24" s="162" t="str">
        <f t="shared" si="17"/>
        <v/>
      </c>
      <c r="AQ24" s="85">
        <f t="shared" si="18"/>
        <v>1</v>
      </c>
      <c r="AR24" s="160" t="str">
        <f t="shared" si="19"/>
        <v/>
      </c>
      <c r="AS24" s="161" t="str">
        <f t="shared" si="4"/>
        <v/>
      </c>
      <c r="AT24" s="160" t="str">
        <f t="shared" si="20"/>
        <v/>
      </c>
      <c r="AU24" s="85">
        <f t="shared" si="21"/>
        <v>1</v>
      </c>
      <c r="AV24" s="160">
        <f t="shared" si="22"/>
        <v>8</v>
      </c>
      <c r="AW24" s="431">
        <f t="shared" si="23"/>
        <v>2140</v>
      </c>
      <c r="AX24" s="160">
        <f t="shared" si="24"/>
        <v>143.19999999999999</v>
      </c>
      <c r="AY24" s="85">
        <f t="shared" si="25"/>
        <v>1</v>
      </c>
      <c r="AZ24" s="160" t="str">
        <f t="shared" si="26"/>
        <v/>
      </c>
      <c r="BA24" s="161" t="str">
        <f t="shared" si="5"/>
        <v/>
      </c>
      <c r="BB24" s="160" t="str">
        <f t="shared" si="27"/>
        <v/>
      </c>
      <c r="BC24" s="85">
        <f t="shared" si="28"/>
        <v>1</v>
      </c>
      <c r="BD24" s="160" t="str">
        <f t="shared" si="29"/>
        <v/>
      </c>
      <c r="BE24" s="161" t="str">
        <f t="shared" si="6"/>
        <v/>
      </c>
      <c r="BF24" s="163" t="str">
        <f t="shared" si="30"/>
        <v/>
      </c>
      <c r="BG24" s="46"/>
      <c r="BH24" s="84"/>
      <c r="BI24" s="55"/>
      <c r="BJ24" s="55"/>
      <c r="BK24" s="238"/>
      <c r="BL24" s="50"/>
      <c r="BM24" s="5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c r="DJ24" s="55"/>
      <c r="DK24" s="55"/>
      <c r="DL24" s="55"/>
      <c r="DM24" s="55"/>
      <c r="DN24" s="55"/>
      <c r="DO24" s="55"/>
      <c r="DP24" s="55"/>
      <c r="DQ24" s="55"/>
      <c r="DR24" s="55"/>
      <c r="DS24" s="55"/>
      <c r="DT24" s="55"/>
      <c r="DU24" s="55"/>
      <c r="DV24" s="55"/>
      <c r="DW24" s="55"/>
      <c r="DX24" s="55"/>
      <c r="DY24" s="55"/>
      <c r="DZ24" s="55"/>
      <c r="EA24" s="55"/>
      <c r="EB24" s="55"/>
      <c r="EC24" s="55"/>
      <c r="ED24" s="55"/>
      <c r="EE24" s="55"/>
      <c r="EF24" s="55"/>
      <c r="EG24" s="55"/>
      <c r="EH24" s="55"/>
      <c r="EI24" s="55"/>
      <c r="EJ24" s="55"/>
      <c r="EK24" s="55"/>
      <c r="EL24" s="55"/>
      <c r="EM24" s="55"/>
      <c r="EN24" s="55"/>
      <c r="EO24" s="55"/>
      <c r="EP24" s="55"/>
      <c r="EQ24" s="55"/>
      <c r="ER24" s="55"/>
      <c r="ES24" s="55"/>
      <c r="ET24" s="55"/>
      <c r="EU24" s="55"/>
      <c r="EV24" s="55"/>
      <c r="EW24" s="55"/>
      <c r="EX24" s="55"/>
      <c r="EY24" s="55"/>
      <c r="EZ24" s="55"/>
      <c r="FA24" s="55"/>
    </row>
    <row r="25" spans="1:157" s="50" customFormat="1" ht="24" customHeight="1" thickTop="1" thickBot="1" x14ac:dyDescent="0.3">
      <c r="C25" s="130">
        <f t="shared" si="31"/>
        <v>10</v>
      </c>
      <c r="D25" s="434">
        <v>423</v>
      </c>
      <c r="E25" s="444">
        <v>42361</v>
      </c>
      <c r="F25" s="438">
        <v>502.02100000000002</v>
      </c>
      <c r="G25" s="492" t="s">
        <v>177</v>
      </c>
      <c r="H25" s="493"/>
      <c r="I25" s="493"/>
      <c r="J25" s="493"/>
      <c r="K25" s="494"/>
      <c r="L25" s="437">
        <v>1</v>
      </c>
      <c r="M25" s="437">
        <v>0</v>
      </c>
      <c r="N25" s="437"/>
      <c r="O25" s="437" t="s">
        <v>173</v>
      </c>
      <c r="P25" s="436">
        <v>8</v>
      </c>
      <c r="Q25" s="437">
        <v>948</v>
      </c>
      <c r="R25" s="440">
        <v>133</v>
      </c>
      <c r="S25" s="435">
        <v>142.80000000000001</v>
      </c>
      <c r="T25" s="344" t="str">
        <f>IF(E25="","",IF($K$8="X","",+'QC thin lift'!I37))</f>
        <v/>
      </c>
      <c r="U25" s="445">
        <v>15.4</v>
      </c>
      <c r="V25" s="125">
        <f t="shared" si="0"/>
        <v>127.4</v>
      </c>
      <c r="W25" s="126">
        <f t="shared" si="7"/>
        <v>0.12087912087912088</v>
      </c>
      <c r="X25" s="127">
        <f t="shared" si="8"/>
        <v>102</v>
      </c>
      <c r="Y25" s="128">
        <f>+IF(O25="","",IF(OR(O25="SG",O25="TP",O25="RG",O25="OG",O25="EMB"),90,IF(OR(O25="D",O25="FG",O25="FTG"),95,"")))</f>
        <v>95</v>
      </c>
      <c r="Z25" s="129" t="str">
        <f t="shared" si="10"/>
        <v>PASS</v>
      </c>
      <c r="AA25" s="164"/>
      <c r="AB25" s="165"/>
      <c r="AC25" s="165"/>
      <c r="AD25" s="165"/>
      <c r="AE25" s="165"/>
      <c r="AF25" s="156">
        <f t="shared" si="11"/>
        <v>142.80000000000001</v>
      </c>
      <c r="AG25" s="156" t="str">
        <f t="shared" si="12"/>
        <v/>
      </c>
      <c r="AH25" s="156" t="str">
        <f t="shared" si="13"/>
        <v/>
      </c>
      <c r="AI25" s="156">
        <f>+IF(L25=1,X25,"")</f>
        <v>102</v>
      </c>
      <c r="AJ25" s="157">
        <f t="shared" si="32"/>
        <v>10</v>
      </c>
      <c r="AK25" s="158">
        <f t="shared" si="14"/>
        <v>42361</v>
      </c>
      <c r="AL25" s="159">
        <f t="shared" si="15"/>
        <v>10</v>
      </c>
      <c r="AM25" s="166">
        <f t="shared" si="16"/>
        <v>1</v>
      </c>
      <c r="AN25" s="163" t="str">
        <f t="shared" si="2"/>
        <v/>
      </c>
      <c r="AO25" s="161" t="str">
        <f t="shared" si="3"/>
        <v/>
      </c>
      <c r="AP25" s="162" t="str">
        <f t="shared" si="17"/>
        <v/>
      </c>
      <c r="AQ25" s="85">
        <f t="shared" si="18"/>
        <v>1</v>
      </c>
      <c r="AR25" s="160" t="str">
        <f t="shared" si="19"/>
        <v/>
      </c>
      <c r="AS25" s="161" t="str">
        <f t="shared" si="4"/>
        <v/>
      </c>
      <c r="AT25" s="160" t="str">
        <f t="shared" si="20"/>
        <v/>
      </c>
      <c r="AU25" s="85">
        <f t="shared" si="21"/>
        <v>1</v>
      </c>
      <c r="AV25" s="160">
        <f t="shared" si="22"/>
        <v>8</v>
      </c>
      <c r="AW25" s="431">
        <f t="shared" si="23"/>
        <v>2148</v>
      </c>
      <c r="AX25" s="160">
        <f t="shared" si="24"/>
        <v>142.80000000000001</v>
      </c>
      <c r="AY25" s="85">
        <f t="shared" si="25"/>
        <v>1</v>
      </c>
      <c r="AZ25" s="160" t="str">
        <f t="shared" si="26"/>
        <v/>
      </c>
      <c r="BA25" s="161" t="str">
        <f t="shared" si="5"/>
        <v/>
      </c>
      <c r="BB25" s="160" t="str">
        <f t="shared" si="27"/>
        <v/>
      </c>
      <c r="BC25" s="85">
        <f t="shared" si="28"/>
        <v>1</v>
      </c>
      <c r="BD25" s="160" t="str">
        <f t="shared" si="29"/>
        <v/>
      </c>
      <c r="BE25" s="161" t="str">
        <f t="shared" si="6"/>
        <v/>
      </c>
      <c r="BF25" s="163" t="str">
        <f t="shared" si="30"/>
        <v/>
      </c>
      <c r="BG25" s="46"/>
      <c r="BH25" s="84"/>
      <c r="BI25" s="55"/>
      <c r="BJ25" s="55"/>
      <c r="BK25" s="238"/>
      <c r="BM25" s="55"/>
      <c r="BN25" s="55"/>
      <c r="BO25" s="55"/>
      <c r="BP25" s="55"/>
      <c r="BQ25" s="55" t="e">
        <f>+VLOOKUP(BK24:BK30,BV17:BW23,2)</f>
        <v>#N/A</v>
      </c>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c r="DV25" s="55"/>
      <c r="DW25" s="55"/>
      <c r="DX25" s="55"/>
      <c r="DY25" s="55"/>
      <c r="DZ25" s="55"/>
      <c r="EA25" s="55"/>
      <c r="EB25" s="55"/>
      <c r="EC25" s="55"/>
      <c r="ED25" s="55"/>
      <c r="EE25" s="55"/>
      <c r="EF25" s="55"/>
      <c r="EG25" s="55"/>
      <c r="EH25" s="55"/>
      <c r="EI25" s="55"/>
      <c r="EJ25" s="55"/>
      <c r="EK25" s="55"/>
      <c r="EL25" s="55"/>
      <c r="EM25" s="55"/>
      <c r="EN25" s="55"/>
      <c r="EO25" s="55"/>
      <c r="EP25" s="55"/>
      <c r="EQ25" s="55"/>
      <c r="ER25" s="55"/>
      <c r="ES25" s="55"/>
      <c r="ET25" s="55"/>
      <c r="EU25" s="55"/>
      <c r="EV25" s="55"/>
      <c r="EW25" s="55"/>
      <c r="EX25" s="55"/>
      <c r="EY25" s="55"/>
      <c r="EZ25" s="55"/>
      <c r="FA25" s="55"/>
    </row>
    <row r="26" spans="1:157" s="50" customFormat="1" ht="24" customHeight="1" thickTop="1" thickBot="1" x14ac:dyDescent="0.3">
      <c r="C26" s="130">
        <f t="shared" si="31"/>
        <v>11</v>
      </c>
      <c r="D26" s="434">
        <v>424</v>
      </c>
      <c r="E26" s="439">
        <v>42361</v>
      </c>
      <c r="F26" s="438">
        <v>502.02100000000002</v>
      </c>
      <c r="G26" s="492" t="s">
        <v>178</v>
      </c>
      <c r="H26" s="493"/>
      <c r="I26" s="493"/>
      <c r="J26" s="493"/>
      <c r="K26" s="494"/>
      <c r="L26" s="437">
        <v>1</v>
      </c>
      <c r="M26" s="437">
        <v>0</v>
      </c>
      <c r="N26" s="437"/>
      <c r="O26" s="441" t="s">
        <v>173</v>
      </c>
      <c r="P26" s="436">
        <v>8</v>
      </c>
      <c r="Q26" s="437">
        <v>1374</v>
      </c>
      <c r="R26" s="440">
        <v>106</v>
      </c>
      <c r="S26" s="435">
        <v>146.6</v>
      </c>
      <c r="T26" s="344" t="str">
        <f>IF(E26="","",IF($K$8="X","",+'QC thin lift'!I38))</f>
        <v/>
      </c>
      <c r="U26" s="445">
        <v>11.8</v>
      </c>
      <c r="V26" s="125">
        <f t="shared" si="0"/>
        <v>134.79999999999998</v>
      </c>
      <c r="W26" s="126">
        <f t="shared" si="7"/>
        <v>8.7537091988130575E-2</v>
      </c>
      <c r="X26" s="127">
        <f t="shared" si="8"/>
        <v>107</v>
      </c>
      <c r="Y26" s="128">
        <f t="shared" si="9"/>
        <v>95</v>
      </c>
      <c r="Z26" s="129" t="str">
        <f t="shared" si="10"/>
        <v>PASS</v>
      </c>
      <c r="AA26" s="164"/>
      <c r="AB26" s="165"/>
      <c r="AC26" s="165"/>
      <c r="AD26" s="165"/>
      <c r="AE26" s="165"/>
      <c r="AF26" s="156">
        <f t="shared" si="11"/>
        <v>146.6</v>
      </c>
      <c r="AG26" s="156" t="str">
        <f t="shared" si="12"/>
        <v/>
      </c>
      <c r="AH26" s="156" t="str">
        <f t="shared" si="13"/>
        <v/>
      </c>
      <c r="AI26" s="156">
        <f>+IF(L26=1,X26,"")</f>
        <v>107</v>
      </c>
      <c r="AJ26" s="157">
        <f t="shared" si="32"/>
        <v>11</v>
      </c>
      <c r="AK26" s="158">
        <f t="shared" si="14"/>
        <v>42361</v>
      </c>
      <c r="AL26" s="159">
        <f t="shared" si="15"/>
        <v>11</v>
      </c>
      <c r="AM26" s="166">
        <f t="shared" si="16"/>
        <v>1</v>
      </c>
      <c r="AN26" s="163" t="str">
        <f t="shared" si="2"/>
        <v/>
      </c>
      <c r="AO26" s="161" t="str">
        <f t="shared" si="3"/>
        <v/>
      </c>
      <c r="AP26" s="162" t="str">
        <f t="shared" si="17"/>
        <v/>
      </c>
      <c r="AQ26" s="85">
        <f t="shared" si="18"/>
        <v>1</v>
      </c>
      <c r="AR26" s="160" t="str">
        <f t="shared" si="19"/>
        <v/>
      </c>
      <c r="AS26" s="161" t="str">
        <f t="shared" si="4"/>
        <v/>
      </c>
      <c r="AT26" s="160" t="str">
        <f t="shared" si="20"/>
        <v/>
      </c>
      <c r="AU26" s="85">
        <f t="shared" si="21"/>
        <v>1</v>
      </c>
      <c r="AV26" s="160">
        <f t="shared" si="22"/>
        <v>8</v>
      </c>
      <c r="AW26" s="431">
        <f t="shared" si="23"/>
        <v>2574</v>
      </c>
      <c r="AX26" s="160">
        <f t="shared" si="24"/>
        <v>146.6</v>
      </c>
      <c r="AY26" s="85">
        <f t="shared" si="25"/>
        <v>1</v>
      </c>
      <c r="AZ26" s="160" t="str">
        <f t="shared" si="26"/>
        <v/>
      </c>
      <c r="BA26" s="161" t="str">
        <f t="shared" si="5"/>
        <v/>
      </c>
      <c r="BB26" s="160" t="str">
        <f t="shared" si="27"/>
        <v/>
      </c>
      <c r="BC26" s="85">
        <f t="shared" si="28"/>
        <v>1</v>
      </c>
      <c r="BD26" s="160" t="str">
        <f t="shared" si="29"/>
        <v/>
      </c>
      <c r="BE26" s="161" t="str">
        <f t="shared" si="6"/>
        <v/>
      </c>
      <c r="BF26" s="163" t="str">
        <f t="shared" si="30"/>
        <v/>
      </c>
      <c r="BG26" s="46"/>
      <c r="BH26" s="274"/>
      <c r="BI26" s="55"/>
      <c r="BJ26" s="55"/>
      <c r="BK26" s="238"/>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row>
    <row r="27" spans="1:157" s="167" customFormat="1" ht="24" customHeight="1" thickTop="1" thickBot="1" x14ac:dyDescent="0.3">
      <c r="A27" s="55"/>
      <c r="B27" s="55"/>
      <c r="C27" s="130">
        <f t="shared" si="31"/>
        <v>12</v>
      </c>
      <c r="D27" s="434">
        <v>424</v>
      </c>
      <c r="E27" s="439">
        <v>42361</v>
      </c>
      <c r="F27" s="438">
        <v>502.02100000000002</v>
      </c>
      <c r="G27" s="492" t="s">
        <v>178</v>
      </c>
      <c r="H27" s="493"/>
      <c r="I27" s="493"/>
      <c r="J27" s="493"/>
      <c r="K27" s="494"/>
      <c r="L27" s="437">
        <v>1</v>
      </c>
      <c r="M27" s="433">
        <v>0</v>
      </c>
      <c r="N27" s="433"/>
      <c r="O27" s="437" t="s">
        <v>173</v>
      </c>
      <c r="P27" s="436">
        <v>8</v>
      </c>
      <c r="Q27" s="437">
        <v>1321</v>
      </c>
      <c r="R27" s="440">
        <v>112</v>
      </c>
      <c r="S27" s="435">
        <v>146.30000000000001</v>
      </c>
      <c r="T27" s="344" t="str">
        <f>IF(E27="","",IF($K$8="X","",+'QC thin lift'!I39))</f>
        <v/>
      </c>
      <c r="U27" s="445">
        <v>12.5</v>
      </c>
      <c r="V27" s="125">
        <f t="shared" si="0"/>
        <v>133.80000000000001</v>
      </c>
      <c r="W27" s="126">
        <f t="shared" si="7"/>
        <v>9.3423019431988039E-2</v>
      </c>
      <c r="X27" s="127">
        <f t="shared" si="8"/>
        <v>107</v>
      </c>
      <c r="Y27" s="128">
        <f t="shared" si="9"/>
        <v>95</v>
      </c>
      <c r="Z27" s="129" t="str">
        <f t="shared" si="10"/>
        <v>PASS</v>
      </c>
      <c r="AA27" s="164"/>
      <c r="AB27" s="165"/>
      <c r="AC27" s="165"/>
      <c r="AD27" s="165"/>
      <c r="AE27" s="165"/>
      <c r="AF27" s="156">
        <f t="shared" si="11"/>
        <v>146.30000000000001</v>
      </c>
      <c r="AG27" s="156" t="str">
        <f t="shared" si="12"/>
        <v/>
      </c>
      <c r="AH27" s="156" t="str">
        <f t="shared" si="13"/>
        <v/>
      </c>
      <c r="AI27" s="156"/>
      <c r="AJ27" s="157">
        <f t="shared" si="32"/>
        <v>12</v>
      </c>
      <c r="AK27" s="158">
        <f t="shared" si="14"/>
        <v>42361</v>
      </c>
      <c r="AL27" s="159">
        <f t="shared" si="15"/>
        <v>12</v>
      </c>
      <c r="AM27" s="166">
        <f t="shared" si="16"/>
        <v>1</v>
      </c>
      <c r="AN27" s="163" t="str">
        <f t="shared" si="2"/>
        <v/>
      </c>
      <c r="AO27" s="161" t="str">
        <f t="shared" si="3"/>
        <v/>
      </c>
      <c r="AP27" s="162" t="str">
        <f t="shared" si="17"/>
        <v/>
      </c>
      <c r="AQ27" s="85">
        <f t="shared" si="18"/>
        <v>1</v>
      </c>
      <c r="AR27" s="160" t="str">
        <f t="shared" si="19"/>
        <v/>
      </c>
      <c r="AS27" s="161" t="str">
        <f t="shared" si="4"/>
        <v/>
      </c>
      <c r="AT27" s="160" t="str">
        <f t="shared" si="20"/>
        <v/>
      </c>
      <c r="AU27" s="85">
        <f t="shared" si="21"/>
        <v>1</v>
      </c>
      <c r="AV27" s="160">
        <f t="shared" si="22"/>
        <v>8</v>
      </c>
      <c r="AW27" s="431">
        <f t="shared" si="23"/>
        <v>2521</v>
      </c>
      <c r="AX27" s="160">
        <f t="shared" si="24"/>
        <v>146.30000000000001</v>
      </c>
      <c r="AY27" s="85">
        <f t="shared" si="25"/>
        <v>1</v>
      </c>
      <c r="AZ27" s="160" t="str">
        <f t="shared" si="26"/>
        <v/>
      </c>
      <c r="BA27" s="161" t="str">
        <f t="shared" si="5"/>
        <v/>
      </c>
      <c r="BB27" s="160" t="str">
        <f t="shared" si="27"/>
        <v/>
      </c>
      <c r="BC27" s="85">
        <f t="shared" si="28"/>
        <v>1</v>
      </c>
      <c r="BD27" s="160" t="str">
        <f t="shared" si="29"/>
        <v/>
      </c>
      <c r="BE27" s="161" t="str">
        <f t="shared" si="6"/>
        <v/>
      </c>
      <c r="BF27" s="163" t="str">
        <f t="shared" si="30"/>
        <v/>
      </c>
      <c r="BG27" s="46"/>
      <c r="BH27" s="84"/>
      <c r="BI27" s="55"/>
      <c r="BJ27" s="55"/>
      <c r="BK27" s="238"/>
      <c r="BL27" s="50"/>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c r="EG27" s="55"/>
      <c r="EH27" s="55"/>
      <c r="EI27" s="55"/>
      <c r="EJ27" s="55"/>
      <c r="EK27" s="55"/>
      <c r="EL27" s="55"/>
      <c r="EM27" s="55"/>
      <c r="EN27" s="55"/>
      <c r="EO27" s="55"/>
      <c r="EP27" s="55"/>
      <c r="EQ27" s="55"/>
      <c r="ER27" s="55"/>
      <c r="ES27" s="55"/>
      <c r="ET27" s="55"/>
      <c r="EU27" s="55"/>
      <c r="EV27" s="55"/>
      <c r="EW27" s="55"/>
      <c r="EX27" s="55"/>
      <c r="EY27" s="55"/>
      <c r="EZ27" s="55"/>
      <c r="FA27" s="55"/>
    </row>
    <row r="28" spans="1:157" s="50" customFormat="1" ht="24" customHeight="1" thickTop="1" thickBot="1" x14ac:dyDescent="0.3">
      <c r="B28" s="168" t="s">
        <v>186</v>
      </c>
      <c r="C28" s="130">
        <f t="shared" si="31"/>
        <v>13</v>
      </c>
      <c r="D28" s="434">
        <v>425</v>
      </c>
      <c r="E28" s="439">
        <v>42361</v>
      </c>
      <c r="F28" s="438">
        <v>502.02100000000002</v>
      </c>
      <c r="G28" s="492" t="s">
        <v>179</v>
      </c>
      <c r="H28" s="493"/>
      <c r="I28" s="493"/>
      <c r="J28" s="493"/>
      <c r="K28" s="494"/>
      <c r="L28" s="437">
        <v>1</v>
      </c>
      <c r="M28" s="433">
        <v>0</v>
      </c>
      <c r="N28" s="433"/>
      <c r="O28" s="437" t="s">
        <v>173</v>
      </c>
      <c r="P28" s="436">
        <v>8</v>
      </c>
      <c r="Q28" s="437">
        <v>964</v>
      </c>
      <c r="R28" s="440">
        <v>124</v>
      </c>
      <c r="S28" s="435">
        <v>142.19999999999999</v>
      </c>
      <c r="T28" s="344" t="str">
        <f>IF(E28="","",IF($K$8="X","",+'QC thin lift'!I40))</f>
        <v/>
      </c>
      <c r="U28" s="445">
        <v>14.1</v>
      </c>
      <c r="V28" s="125">
        <f t="shared" si="0"/>
        <v>128.1</v>
      </c>
      <c r="W28" s="126">
        <f t="shared" si="7"/>
        <v>0.11007025761124122</v>
      </c>
      <c r="X28" s="127">
        <f t="shared" si="8"/>
        <v>102</v>
      </c>
      <c r="Y28" s="128">
        <f t="shared" si="9"/>
        <v>95</v>
      </c>
      <c r="Z28" s="129" t="str">
        <f t="shared" si="10"/>
        <v>PASS</v>
      </c>
      <c r="AA28" s="164"/>
      <c r="AB28" s="165"/>
      <c r="AC28" s="165"/>
      <c r="AD28" s="165"/>
      <c r="AE28" s="165"/>
      <c r="AF28" s="156">
        <f t="shared" si="11"/>
        <v>142.19999999999999</v>
      </c>
      <c r="AG28" s="156" t="str">
        <f t="shared" si="12"/>
        <v/>
      </c>
      <c r="AH28" s="156" t="str">
        <f t="shared" si="13"/>
        <v/>
      </c>
      <c r="AI28" s="156"/>
      <c r="AJ28" s="157">
        <f t="shared" si="32"/>
        <v>13</v>
      </c>
      <c r="AK28" s="158">
        <f t="shared" si="14"/>
        <v>42361</v>
      </c>
      <c r="AL28" s="159">
        <f t="shared" si="15"/>
        <v>13</v>
      </c>
      <c r="AM28" s="166">
        <f t="shared" si="16"/>
        <v>1</v>
      </c>
      <c r="AN28" s="163" t="str">
        <f t="shared" si="2"/>
        <v/>
      </c>
      <c r="AO28" s="161" t="str">
        <f t="shared" si="3"/>
        <v/>
      </c>
      <c r="AP28" s="162" t="str">
        <f t="shared" si="17"/>
        <v/>
      </c>
      <c r="AQ28" s="85">
        <f t="shared" si="18"/>
        <v>1</v>
      </c>
      <c r="AR28" s="160" t="str">
        <f t="shared" si="19"/>
        <v/>
      </c>
      <c r="AS28" s="161" t="str">
        <f t="shared" si="4"/>
        <v/>
      </c>
      <c r="AT28" s="160" t="str">
        <f t="shared" si="20"/>
        <v/>
      </c>
      <c r="AU28" s="85">
        <f t="shared" si="21"/>
        <v>1</v>
      </c>
      <c r="AV28" s="160">
        <f t="shared" si="22"/>
        <v>8</v>
      </c>
      <c r="AW28" s="431">
        <f t="shared" si="23"/>
        <v>2164</v>
      </c>
      <c r="AX28" s="160">
        <f t="shared" si="24"/>
        <v>142.19999999999999</v>
      </c>
      <c r="AY28" s="85">
        <f t="shared" si="25"/>
        <v>1</v>
      </c>
      <c r="AZ28" s="160" t="str">
        <f t="shared" si="26"/>
        <v/>
      </c>
      <c r="BA28" s="161" t="str">
        <f t="shared" si="5"/>
        <v/>
      </c>
      <c r="BB28" s="160" t="str">
        <f t="shared" si="27"/>
        <v/>
      </c>
      <c r="BC28" s="85">
        <f t="shared" si="28"/>
        <v>1</v>
      </c>
      <c r="BD28" s="160" t="str">
        <f t="shared" si="29"/>
        <v/>
      </c>
      <c r="BE28" s="161" t="str">
        <f t="shared" si="6"/>
        <v/>
      </c>
      <c r="BF28" s="163" t="str">
        <f t="shared" si="30"/>
        <v/>
      </c>
      <c r="BG28" s="46"/>
      <c r="BH28" s="84"/>
      <c r="BI28" s="55"/>
      <c r="BJ28" s="55"/>
      <c r="BK28" s="238"/>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row>
    <row r="29" spans="1:157" s="50" customFormat="1" ht="24" customHeight="1" thickTop="1" thickBot="1" x14ac:dyDescent="0.3">
      <c r="C29" s="130">
        <f t="shared" si="31"/>
        <v>14</v>
      </c>
      <c r="D29" s="434">
        <v>425</v>
      </c>
      <c r="E29" s="439">
        <v>42361</v>
      </c>
      <c r="F29" s="438">
        <v>502.02100000000002</v>
      </c>
      <c r="G29" s="492" t="s">
        <v>179</v>
      </c>
      <c r="H29" s="493"/>
      <c r="I29" s="493"/>
      <c r="J29" s="493"/>
      <c r="K29" s="494"/>
      <c r="L29" s="437">
        <v>1</v>
      </c>
      <c r="M29" s="433">
        <v>0</v>
      </c>
      <c r="N29" s="433"/>
      <c r="O29" s="437" t="s">
        <v>173</v>
      </c>
      <c r="P29" s="436">
        <v>8</v>
      </c>
      <c r="Q29" s="437">
        <v>979</v>
      </c>
      <c r="R29" s="440">
        <v>119</v>
      </c>
      <c r="S29" s="435">
        <v>141.6</v>
      </c>
      <c r="T29" s="344" t="str">
        <f>IF(E29="","",IF($K$8="X","",+'QC thin lift'!I41))</f>
        <v/>
      </c>
      <c r="U29" s="445">
        <v>13.5</v>
      </c>
      <c r="V29" s="125">
        <f t="shared" si="0"/>
        <v>128.1</v>
      </c>
      <c r="W29" s="126">
        <f t="shared" si="7"/>
        <v>0.1053864168618267</v>
      </c>
      <c r="X29" s="127">
        <f t="shared" si="8"/>
        <v>102</v>
      </c>
      <c r="Y29" s="128">
        <f t="shared" si="9"/>
        <v>95</v>
      </c>
      <c r="Z29" s="129" t="str">
        <f t="shared" si="10"/>
        <v>PASS</v>
      </c>
      <c r="AA29" s="164"/>
      <c r="AB29" s="165"/>
      <c r="AC29" s="165"/>
      <c r="AD29" s="165"/>
      <c r="AE29" s="165"/>
      <c r="AF29" s="156">
        <f t="shared" si="11"/>
        <v>141.6</v>
      </c>
      <c r="AG29" s="156" t="str">
        <f t="shared" si="12"/>
        <v/>
      </c>
      <c r="AH29" s="156" t="str">
        <f t="shared" si="13"/>
        <v/>
      </c>
      <c r="AI29" s="156"/>
      <c r="AJ29" s="157">
        <f t="shared" si="32"/>
        <v>14</v>
      </c>
      <c r="AK29" s="158">
        <f t="shared" si="14"/>
        <v>42361</v>
      </c>
      <c r="AL29" s="159">
        <f t="shared" si="15"/>
        <v>14</v>
      </c>
      <c r="AM29" s="166">
        <f t="shared" si="16"/>
        <v>1</v>
      </c>
      <c r="AN29" s="163" t="str">
        <f t="shared" si="2"/>
        <v/>
      </c>
      <c r="AO29" s="161" t="str">
        <f t="shared" si="3"/>
        <v/>
      </c>
      <c r="AP29" s="162" t="str">
        <f t="shared" si="17"/>
        <v/>
      </c>
      <c r="AQ29" s="85">
        <f t="shared" si="18"/>
        <v>1</v>
      </c>
      <c r="AR29" s="160" t="str">
        <f t="shared" si="19"/>
        <v/>
      </c>
      <c r="AS29" s="161" t="str">
        <f t="shared" si="4"/>
        <v/>
      </c>
      <c r="AT29" s="160" t="str">
        <f t="shared" si="20"/>
        <v/>
      </c>
      <c r="AU29" s="85">
        <f t="shared" si="21"/>
        <v>1</v>
      </c>
      <c r="AV29" s="160">
        <f t="shared" si="22"/>
        <v>8</v>
      </c>
      <c r="AW29" s="431">
        <f t="shared" si="23"/>
        <v>2179</v>
      </c>
      <c r="AX29" s="160">
        <f t="shared" si="24"/>
        <v>141.6</v>
      </c>
      <c r="AY29" s="85">
        <f t="shared" si="25"/>
        <v>1</v>
      </c>
      <c r="AZ29" s="160" t="str">
        <f t="shared" si="26"/>
        <v/>
      </c>
      <c r="BA29" s="161" t="str">
        <f t="shared" si="5"/>
        <v/>
      </c>
      <c r="BB29" s="160" t="str">
        <f t="shared" si="27"/>
        <v/>
      </c>
      <c r="BC29" s="85">
        <f t="shared" si="28"/>
        <v>1</v>
      </c>
      <c r="BD29" s="160" t="str">
        <f t="shared" si="29"/>
        <v/>
      </c>
      <c r="BE29" s="161" t="str">
        <f t="shared" si="6"/>
        <v/>
      </c>
      <c r="BF29" s="163" t="str">
        <f t="shared" si="30"/>
        <v/>
      </c>
      <c r="BG29" s="46"/>
      <c r="BH29" s="84"/>
      <c r="BI29" s="55"/>
      <c r="BJ29" s="55"/>
      <c r="BK29" s="238"/>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row>
    <row r="30" spans="1:157" s="167" customFormat="1" ht="24" customHeight="1" thickTop="1" thickBot="1" x14ac:dyDescent="0.3">
      <c r="A30" s="55"/>
      <c r="B30" s="55"/>
      <c r="C30" s="130">
        <f t="shared" si="31"/>
        <v>15</v>
      </c>
      <c r="D30" s="112"/>
      <c r="E30" s="345"/>
      <c r="F30" s="112"/>
      <c r="G30" s="487"/>
      <c r="H30" s="488"/>
      <c r="I30" s="488"/>
      <c r="J30" s="488"/>
      <c r="K30" s="489"/>
      <c r="L30" s="108"/>
      <c r="M30" s="108"/>
      <c r="N30" s="108"/>
      <c r="O30" s="323"/>
      <c r="P30" s="109"/>
      <c r="Q30" s="108"/>
      <c r="R30" s="108"/>
      <c r="S30" s="109"/>
      <c r="T30" s="344" t="str">
        <f>IF(E30="","",IF($K$8="X","",+'QC thin lift'!I42))</f>
        <v/>
      </c>
      <c r="U30" s="322"/>
      <c r="V30" s="125" t="str">
        <f t="shared" si="0"/>
        <v/>
      </c>
      <c r="W30" s="126" t="str">
        <f t="shared" si="7"/>
        <v/>
      </c>
      <c r="X30" s="127" t="str">
        <f t="shared" ref="X30:X45" si="33">IF(OR(L30="",U30="",R30="",Q30=""),"",ROUNDUP(IF(L30="","",IF($K$8="X",(IF(L30=1,V30/$T$9*100,IF(L30=2,V30/$W$9*100,IF(L30=3,V30/$Z$9*100)))),IF($K$9="X",(IF(L30=1,S30/$T$8*100,IF(L30=2,S30/$W$8*100,IF(L30=3,S30/$Z$8*100,""))))))),0))</f>
        <v/>
      </c>
      <c r="Y30" s="128" t="str">
        <f t="shared" si="9"/>
        <v/>
      </c>
      <c r="Z30" s="129" t="str">
        <f t="shared" ref="Z30:Z45" si="34">IF(OR(E30="",W30="",V30="",U30="",S30="",R30="",Q30=""),"",IF(AND($K$9="X",Y30&lt;95),"ERR grade",IF(L30="","",+IF(AND($K$8="",$K$9=""),"",IF(X30&lt;Y30,"FAIL","PASS")))))</f>
        <v/>
      </c>
      <c r="AA30" s="164"/>
      <c r="AB30" s="165"/>
      <c r="AC30" s="165"/>
      <c r="AD30" s="165"/>
      <c r="AE30" s="165"/>
      <c r="AF30" s="156" t="str">
        <f>+IF(L30=1,S30,"")</f>
        <v/>
      </c>
      <c r="AG30" s="156" t="str">
        <f t="shared" si="12"/>
        <v/>
      </c>
      <c r="AH30" s="156" t="str">
        <f t="shared" si="13"/>
        <v/>
      </c>
      <c r="AI30" s="156"/>
      <c r="AJ30" s="157">
        <f t="shared" si="32"/>
        <v>15</v>
      </c>
      <c r="AK30" s="158" t="str">
        <f t="shared" si="14"/>
        <v/>
      </c>
      <c r="AL30" s="159">
        <f t="shared" si="15"/>
        <v>15</v>
      </c>
      <c r="AM30" s="166" t="str">
        <f t="shared" si="16"/>
        <v/>
      </c>
      <c r="AN30" s="163" t="str">
        <f t="shared" si="2"/>
        <v/>
      </c>
      <c r="AO30" s="161" t="str">
        <f t="shared" si="3"/>
        <v/>
      </c>
      <c r="AP30" s="162" t="str">
        <f t="shared" si="17"/>
        <v/>
      </c>
      <c r="AQ30" s="85" t="str">
        <f t="shared" si="18"/>
        <v/>
      </c>
      <c r="AR30" s="160" t="str">
        <f t="shared" si="19"/>
        <v/>
      </c>
      <c r="AS30" s="161" t="str">
        <f t="shared" si="4"/>
        <v/>
      </c>
      <c r="AT30" s="160" t="str">
        <f t="shared" si="20"/>
        <v/>
      </c>
      <c r="AU30" s="85" t="str">
        <f t="shared" si="21"/>
        <v/>
      </c>
      <c r="AV30" s="160" t="str">
        <f t="shared" si="22"/>
        <v/>
      </c>
      <c r="AW30" s="431" t="str">
        <f t="shared" si="23"/>
        <v/>
      </c>
      <c r="AX30" s="160" t="str">
        <f t="shared" si="24"/>
        <v/>
      </c>
      <c r="AY30" s="85" t="str">
        <f t="shared" si="25"/>
        <v/>
      </c>
      <c r="AZ30" s="160" t="str">
        <f t="shared" si="26"/>
        <v/>
      </c>
      <c r="BA30" s="161" t="str">
        <f t="shared" si="5"/>
        <v/>
      </c>
      <c r="BB30" s="160" t="str">
        <f t="shared" si="27"/>
        <v/>
      </c>
      <c r="BC30" s="85" t="str">
        <f t="shared" si="28"/>
        <v/>
      </c>
      <c r="BD30" s="160" t="str">
        <f t="shared" si="29"/>
        <v/>
      </c>
      <c r="BE30" s="161" t="str">
        <f t="shared" si="6"/>
        <v/>
      </c>
      <c r="BF30" s="163" t="str">
        <f t="shared" si="30"/>
        <v/>
      </c>
      <c r="BG30" s="46"/>
      <c r="BH30" s="84"/>
      <c r="BI30" s="55"/>
      <c r="BJ30" s="55"/>
      <c r="BK30" s="238"/>
      <c r="BL30" s="50"/>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row>
    <row r="31" spans="1:157" s="50" customFormat="1" ht="24" customHeight="1" thickTop="1" thickBot="1" x14ac:dyDescent="0.3">
      <c r="C31" s="130">
        <f t="shared" si="31"/>
        <v>16</v>
      </c>
      <c r="D31" s="112"/>
      <c r="E31" s="345"/>
      <c r="F31" s="112"/>
      <c r="G31" s="487"/>
      <c r="H31" s="488"/>
      <c r="I31" s="488"/>
      <c r="J31" s="488"/>
      <c r="K31" s="489"/>
      <c r="L31" s="108"/>
      <c r="M31" s="108"/>
      <c r="N31" s="108"/>
      <c r="O31" s="323"/>
      <c r="P31" s="109"/>
      <c r="Q31" s="108"/>
      <c r="R31" s="108"/>
      <c r="S31" s="109"/>
      <c r="T31" s="344" t="str">
        <f>IF(E31="","",IF($K$8="X","",+'QC thin lift'!I43))</f>
        <v/>
      </c>
      <c r="U31" s="322"/>
      <c r="V31" s="125" t="str">
        <f t="shared" si="0"/>
        <v/>
      </c>
      <c r="W31" s="126" t="str">
        <f t="shared" si="7"/>
        <v/>
      </c>
      <c r="X31" s="127" t="str">
        <f t="shared" si="33"/>
        <v/>
      </c>
      <c r="Y31" s="128" t="str">
        <f t="shared" si="9"/>
        <v/>
      </c>
      <c r="Z31" s="129" t="str">
        <f t="shared" si="34"/>
        <v/>
      </c>
      <c r="AA31" s="164"/>
      <c r="AB31" s="165"/>
      <c r="AC31" s="165"/>
      <c r="AD31" s="165"/>
      <c r="AE31" s="165"/>
      <c r="AF31" s="156" t="str">
        <f t="shared" si="11"/>
        <v/>
      </c>
      <c r="AG31" s="156" t="str">
        <f t="shared" si="12"/>
        <v/>
      </c>
      <c r="AH31" s="156" t="str">
        <f t="shared" si="13"/>
        <v/>
      </c>
      <c r="AI31" s="156"/>
      <c r="AJ31" s="157">
        <f t="shared" si="32"/>
        <v>16</v>
      </c>
      <c r="AK31" s="158" t="str">
        <f t="shared" si="14"/>
        <v/>
      </c>
      <c r="AL31" s="159">
        <f t="shared" si="15"/>
        <v>16</v>
      </c>
      <c r="AM31" s="166" t="str">
        <f t="shared" si="16"/>
        <v/>
      </c>
      <c r="AN31" s="163" t="str">
        <f t="shared" si="2"/>
        <v/>
      </c>
      <c r="AO31" s="161" t="str">
        <f t="shared" si="3"/>
        <v/>
      </c>
      <c r="AP31" s="162" t="str">
        <f t="shared" si="17"/>
        <v/>
      </c>
      <c r="AQ31" s="85" t="str">
        <f t="shared" si="18"/>
        <v/>
      </c>
      <c r="AR31" s="160" t="str">
        <f t="shared" si="19"/>
        <v/>
      </c>
      <c r="AS31" s="161" t="str">
        <f t="shared" si="4"/>
        <v/>
      </c>
      <c r="AT31" s="160" t="str">
        <f t="shared" si="20"/>
        <v/>
      </c>
      <c r="AU31" s="85" t="str">
        <f t="shared" si="21"/>
        <v/>
      </c>
      <c r="AV31" s="160" t="str">
        <f t="shared" si="22"/>
        <v/>
      </c>
      <c r="AW31" s="431" t="str">
        <f t="shared" si="23"/>
        <v/>
      </c>
      <c r="AX31" s="160" t="str">
        <f t="shared" si="24"/>
        <v/>
      </c>
      <c r="AY31" s="85" t="str">
        <f t="shared" si="25"/>
        <v/>
      </c>
      <c r="AZ31" s="160" t="str">
        <f t="shared" si="26"/>
        <v/>
      </c>
      <c r="BA31" s="161" t="str">
        <f t="shared" si="5"/>
        <v/>
      </c>
      <c r="BB31" s="160" t="str">
        <f t="shared" si="27"/>
        <v/>
      </c>
      <c r="BC31" s="85" t="str">
        <f t="shared" si="28"/>
        <v/>
      </c>
      <c r="BD31" s="160" t="str">
        <f t="shared" si="29"/>
        <v/>
      </c>
      <c r="BE31" s="161" t="str">
        <f t="shared" si="6"/>
        <v/>
      </c>
      <c r="BF31" s="163" t="str">
        <f t="shared" si="30"/>
        <v/>
      </c>
      <c r="BG31" s="46"/>
      <c r="BH31" s="84"/>
      <c r="BI31" s="55"/>
      <c r="BJ31" s="55"/>
      <c r="BK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row>
    <row r="32" spans="1:157" s="50" customFormat="1" ht="24" customHeight="1" thickTop="1" thickBot="1" x14ac:dyDescent="0.3">
      <c r="C32" s="130">
        <f t="shared" si="31"/>
        <v>17</v>
      </c>
      <c r="D32" s="112"/>
      <c r="E32" s="345"/>
      <c r="F32" s="112"/>
      <c r="G32" s="487"/>
      <c r="H32" s="488"/>
      <c r="I32" s="488"/>
      <c r="J32" s="488"/>
      <c r="K32" s="489"/>
      <c r="L32" s="108"/>
      <c r="M32" s="108"/>
      <c r="N32" s="108"/>
      <c r="O32" s="323"/>
      <c r="P32" s="109"/>
      <c r="Q32" s="108"/>
      <c r="R32" s="108"/>
      <c r="S32" s="109"/>
      <c r="T32" s="344" t="str">
        <f>IF(E32="","",IF($K$8="X","",+'QC thin lift'!I44))</f>
        <v/>
      </c>
      <c r="U32" s="109"/>
      <c r="V32" s="125" t="str">
        <f t="shared" si="0"/>
        <v/>
      </c>
      <c r="W32" s="126" t="str">
        <f t="shared" si="7"/>
        <v/>
      </c>
      <c r="X32" s="127" t="str">
        <f t="shared" si="33"/>
        <v/>
      </c>
      <c r="Y32" s="128" t="str">
        <f t="shared" si="9"/>
        <v/>
      </c>
      <c r="Z32" s="129" t="str">
        <f t="shared" si="34"/>
        <v/>
      </c>
      <c r="AA32" s="164"/>
      <c r="AB32" s="165"/>
      <c r="AC32" s="165"/>
      <c r="AD32" s="165"/>
      <c r="AE32" s="165"/>
      <c r="AF32" s="156" t="str">
        <f t="shared" si="11"/>
        <v/>
      </c>
      <c r="AG32" s="156" t="str">
        <f t="shared" si="12"/>
        <v/>
      </c>
      <c r="AH32" s="156" t="str">
        <f t="shared" si="13"/>
        <v/>
      </c>
      <c r="AI32" s="156"/>
      <c r="AJ32" s="157">
        <f t="shared" si="32"/>
        <v>17</v>
      </c>
      <c r="AK32" s="158" t="str">
        <f t="shared" si="14"/>
        <v/>
      </c>
      <c r="AL32" s="159">
        <f t="shared" si="15"/>
        <v>17</v>
      </c>
      <c r="AM32" s="166" t="str">
        <f t="shared" si="16"/>
        <v/>
      </c>
      <c r="AN32" s="163" t="str">
        <f t="shared" si="2"/>
        <v/>
      </c>
      <c r="AO32" s="161" t="str">
        <f t="shared" si="3"/>
        <v/>
      </c>
      <c r="AP32" s="162" t="str">
        <f t="shared" si="17"/>
        <v/>
      </c>
      <c r="AQ32" s="85" t="str">
        <f t="shared" si="18"/>
        <v/>
      </c>
      <c r="AR32" s="160" t="str">
        <f t="shared" si="19"/>
        <v/>
      </c>
      <c r="AS32" s="161" t="str">
        <f t="shared" si="4"/>
        <v/>
      </c>
      <c r="AT32" s="160" t="str">
        <f t="shared" si="20"/>
        <v/>
      </c>
      <c r="AU32" s="85" t="str">
        <f t="shared" si="21"/>
        <v/>
      </c>
      <c r="AV32" s="160" t="str">
        <f t="shared" si="22"/>
        <v/>
      </c>
      <c r="AW32" s="431" t="str">
        <f t="shared" si="23"/>
        <v/>
      </c>
      <c r="AX32" s="160" t="str">
        <f t="shared" si="24"/>
        <v/>
      </c>
      <c r="AY32" s="85" t="str">
        <f t="shared" si="25"/>
        <v/>
      </c>
      <c r="AZ32" s="160" t="str">
        <f t="shared" si="26"/>
        <v/>
      </c>
      <c r="BA32" s="161" t="str">
        <f t="shared" si="5"/>
        <v/>
      </c>
      <c r="BB32" s="160" t="str">
        <f t="shared" si="27"/>
        <v/>
      </c>
      <c r="BC32" s="85" t="str">
        <f t="shared" si="28"/>
        <v/>
      </c>
      <c r="BD32" s="160" t="str">
        <f t="shared" si="29"/>
        <v/>
      </c>
      <c r="BE32" s="161" t="str">
        <f t="shared" si="6"/>
        <v/>
      </c>
      <c r="BF32" s="163" t="str">
        <f t="shared" si="30"/>
        <v/>
      </c>
      <c r="BG32" s="46"/>
      <c r="BH32" s="84"/>
      <c r="BI32" s="55"/>
      <c r="BJ32" s="55"/>
      <c r="BK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row>
    <row r="33" spans="1:157" s="167" customFormat="1" ht="24" customHeight="1" thickTop="1" thickBot="1" x14ac:dyDescent="0.3">
      <c r="A33" s="55"/>
      <c r="B33" s="55"/>
      <c r="C33" s="130">
        <f t="shared" si="31"/>
        <v>18</v>
      </c>
      <c r="D33" s="112"/>
      <c r="E33" s="345"/>
      <c r="F33" s="112"/>
      <c r="G33" s="487"/>
      <c r="H33" s="488"/>
      <c r="I33" s="488"/>
      <c r="J33" s="488"/>
      <c r="K33" s="489"/>
      <c r="L33" s="108"/>
      <c r="M33" s="108"/>
      <c r="N33" s="108"/>
      <c r="O33" s="323"/>
      <c r="P33" s="109"/>
      <c r="Q33" s="108"/>
      <c r="R33" s="108"/>
      <c r="S33" s="109"/>
      <c r="T33" s="344" t="str">
        <f>IF(E33="","",IF($K$8="X","",+'QC thin lift'!I45))</f>
        <v/>
      </c>
      <c r="U33" s="109"/>
      <c r="V33" s="125" t="str">
        <f t="shared" si="0"/>
        <v/>
      </c>
      <c r="W33" s="126" t="str">
        <f t="shared" si="7"/>
        <v/>
      </c>
      <c r="X33" s="127" t="str">
        <f t="shared" si="33"/>
        <v/>
      </c>
      <c r="Y33" s="128" t="str">
        <f>+IF(O33="","",IF(OR(O33="SG",O33="TP",O33="RG",O33="OG",O33="EMB"),90,IF(OR(O33="D",O33="FG",O33="FTG"),95,"")))</f>
        <v/>
      </c>
      <c r="Z33" s="129" t="str">
        <f t="shared" si="34"/>
        <v/>
      </c>
      <c r="AA33" s="164"/>
      <c r="AB33" s="165"/>
      <c r="AC33" s="165"/>
      <c r="AD33" s="165"/>
      <c r="AE33" s="165"/>
      <c r="AF33" s="156" t="str">
        <f t="shared" si="11"/>
        <v/>
      </c>
      <c r="AG33" s="156" t="str">
        <f t="shared" si="12"/>
        <v/>
      </c>
      <c r="AH33" s="156" t="str">
        <f t="shared" si="13"/>
        <v/>
      </c>
      <c r="AI33" s="156"/>
      <c r="AJ33" s="157">
        <f t="shared" si="32"/>
        <v>18</v>
      </c>
      <c r="AK33" s="158" t="str">
        <f t="shared" si="14"/>
        <v/>
      </c>
      <c r="AL33" s="159">
        <f t="shared" si="15"/>
        <v>18</v>
      </c>
      <c r="AM33" s="166" t="str">
        <f t="shared" si="16"/>
        <v/>
      </c>
      <c r="AN33" s="163" t="str">
        <f t="shared" si="2"/>
        <v/>
      </c>
      <c r="AO33" s="161" t="str">
        <f t="shared" si="3"/>
        <v/>
      </c>
      <c r="AP33" s="162" t="str">
        <f t="shared" si="17"/>
        <v/>
      </c>
      <c r="AQ33" s="85" t="str">
        <f t="shared" si="18"/>
        <v/>
      </c>
      <c r="AR33" s="160" t="str">
        <f t="shared" si="19"/>
        <v/>
      </c>
      <c r="AS33" s="161" t="str">
        <f t="shared" si="4"/>
        <v/>
      </c>
      <c r="AT33" s="160" t="str">
        <f t="shared" si="20"/>
        <v/>
      </c>
      <c r="AU33" s="85" t="str">
        <f t="shared" si="21"/>
        <v/>
      </c>
      <c r="AV33" s="160" t="str">
        <f t="shared" si="22"/>
        <v/>
      </c>
      <c r="AW33" s="431" t="str">
        <f t="shared" si="23"/>
        <v/>
      </c>
      <c r="AX33" s="160" t="str">
        <f t="shared" si="24"/>
        <v/>
      </c>
      <c r="AY33" s="85" t="str">
        <f t="shared" si="25"/>
        <v/>
      </c>
      <c r="AZ33" s="160" t="str">
        <f t="shared" si="26"/>
        <v/>
      </c>
      <c r="BA33" s="161" t="str">
        <f t="shared" si="5"/>
        <v/>
      </c>
      <c r="BB33" s="160" t="str">
        <f t="shared" si="27"/>
        <v/>
      </c>
      <c r="BC33" s="85" t="str">
        <f t="shared" si="28"/>
        <v/>
      </c>
      <c r="BD33" s="160" t="str">
        <f t="shared" si="29"/>
        <v/>
      </c>
      <c r="BE33" s="161" t="str">
        <f t="shared" si="6"/>
        <v/>
      </c>
      <c r="BF33" s="163" t="str">
        <f t="shared" si="30"/>
        <v/>
      </c>
      <c r="BG33" s="46"/>
      <c r="BH33" s="84"/>
      <c r="BI33" s="55"/>
      <c r="BJ33" s="55"/>
      <c r="BK33" s="55"/>
      <c r="BL33" s="50"/>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row>
    <row r="34" spans="1:157" s="50" customFormat="1" ht="24" customHeight="1" thickTop="1" thickBot="1" x14ac:dyDescent="0.3">
      <c r="C34" s="130">
        <f t="shared" si="31"/>
        <v>19</v>
      </c>
      <c r="D34" s="112"/>
      <c r="E34" s="345"/>
      <c r="F34" s="112"/>
      <c r="G34" s="487"/>
      <c r="H34" s="488"/>
      <c r="I34" s="488"/>
      <c r="J34" s="488"/>
      <c r="K34" s="489"/>
      <c r="L34" s="108"/>
      <c r="M34" s="108"/>
      <c r="N34" s="108"/>
      <c r="O34" s="323"/>
      <c r="P34" s="109"/>
      <c r="Q34" s="108"/>
      <c r="R34" s="108"/>
      <c r="S34" s="109"/>
      <c r="T34" s="344" t="str">
        <f>IF(E34="","",IF($K$8="X","",+'QC thin lift'!I46))</f>
        <v/>
      </c>
      <c r="U34" s="109"/>
      <c r="V34" s="125" t="str">
        <f t="shared" si="0"/>
        <v/>
      </c>
      <c r="W34" s="126" t="str">
        <f t="shared" si="7"/>
        <v/>
      </c>
      <c r="X34" s="127" t="str">
        <f t="shared" si="33"/>
        <v/>
      </c>
      <c r="Y34" s="128" t="str">
        <f t="shared" si="9"/>
        <v/>
      </c>
      <c r="Z34" s="129" t="str">
        <f t="shared" si="34"/>
        <v/>
      </c>
      <c r="AA34" s="164"/>
      <c r="AB34" s="165"/>
      <c r="AC34" s="165"/>
      <c r="AD34" s="165"/>
      <c r="AE34" s="165"/>
      <c r="AF34" s="156" t="str">
        <f t="shared" si="11"/>
        <v/>
      </c>
      <c r="AG34" s="156" t="str">
        <f t="shared" si="12"/>
        <v/>
      </c>
      <c r="AH34" s="156" t="str">
        <f t="shared" si="13"/>
        <v/>
      </c>
      <c r="AI34" s="156"/>
      <c r="AJ34" s="157">
        <f t="shared" si="32"/>
        <v>19</v>
      </c>
      <c r="AK34" s="158" t="str">
        <f t="shared" si="14"/>
        <v/>
      </c>
      <c r="AL34" s="159">
        <f t="shared" si="15"/>
        <v>19</v>
      </c>
      <c r="AM34" s="166" t="str">
        <f t="shared" si="16"/>
        <v/>
      </c>
      <c r="AN34" s="163" t="str">
        <f t="shared" si="2"/>
        <v/>
      </c>
      <c r="AO34" s="161" t="str">
        <f t="shared" si="3"/>
        <v/>
      </c>
      <c r="AP34" s="162" t="str">
        <f t="shared" si="17"/>
        <v/>
      </c>
      <c r="AQ34" s="85" t="str">
        <f t="shared" si="18"/>
        <v/>
      </c>
      <c r="AR34" s="160" t="str">
        <f t="shared" si="19"/>
        <v/>
      </c>
      <c r="AS34" s="161" t="str">
        <f t="shared" si="4"/>
        <v/>
      </c>
      <c r="AT34" s="160" t="str">
        <f t="shared" si="20"/>
        <v/>
      </c>
      <c r="AU34" s="85" t="str">
        <f t="shared" si="21"/>
        <v/>
      </c>
      <c r="AV34" s="160" t="str">
        <f t="shared" si="22"/>
        <v/>
      </c>
      <c r="AW34" s="431" t="str">
        <f t="shared" si="23"/>
        <v/>
      </c>
      <c r="AX34" s="160" t="str">
        <f t="shared" si="24"/>
        <v/>
      </c>
      <c r="AY34" s="85" t="str">
        <f t="shared" si="25"/>
        <v/>
      </c>
      <c r="AZ34" s="160" t="str">
        <f t="shared" si="26"/>
        <v/>
      </c>
      <c r="BA34" s="161" t="str">
        <f t="shared" si="5"/>
        <v/>
      </c>
      <c r="BB34" s="160" t="str">
        <f t="shared" si="27"/>
        <v/>
      </c>
      <c r="BC34" s="85" t="str">
        <f t="shared" si="28"/>
        <v/>
      </c>
      <c r="BD34" s="160" t="str">
        <f t="shared" si="29"/>
        <v/>
      </c>
      <c r="BE34" s="161" t="str">
        <f t="shared" si="6"/>
        <v/>
      </c>
      <c r="BF34" s="163" t="str">
        <f t="shared" si="30"/>
        <v/>
      </c>
      <c r="BG34" s="46"/>
      <c r="BH34" s="84"/>
      <c r="BI34" s="55"/>
      <c r="BJ34" s="55"/>
      <c r="BK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row>
    <row r="35" spans="1:157" s="50" customFormat="1" ht="24" customHeight="1" thickTop="1" thickBot="1" x14ac:dyDescent="0.3">
      <c r="C35" s="130">
        <f t="shared" si="31"/>
        <v>20</v>
      </c>
      <c r="D35" s="112"/>
      <c r="E35" s="345"/>
      <c r="F35" s="112"/>
      <c r="G35" s="487"/>
      <c r="H35" s="488"/>
      <c r="I35" s="488"/>
      <c r="J35" s="488"/>
      <c r="K35" s="489"/>
      <c r="L35" s="108"/>
      <c r="M35" s="108"/>
      <c r="N35" s="108"/>
      <c r="O35" s="323"/>
      <c r="P35" s="109"/>
      <c r="Q35" s="112"/>
      <c r="R35" s="108"/>
      <c r="S35" s="239"/>
      <c r="T35" s="344" t="str">
        <f>IF(E35="","",IF($K$8="X","",+'QC thin lift'!I47))</f>
        <v/>
      </c>
      <c r="U35" s="109"/>
      <c r="V35" s="125" t="str">
        <f t="shared" si="0"/>
        <v/>
      </c>
      <c r="W35" s="126" t="str">
        <f t="shared" si="7"/>
        <v/>
      </c>
      <c r="X35" s="127" t="str">
        <f t="shared" si="33"/>
        <v/>
      </c>
      <c r="Y35" s="128" t="str">
        <f t="shared" si="9"/>
        <v/>
      </c>
      <c r="Z35" s="129" t="str">
        <f t="shared" si="34"/>
        <v/>
      </c>
      <c r="AA35" s="164"/>
      <c r="AB35" s="165"/>
      <c r="AC35" s="165"/>
      <c r="AD35" s="165"/>
      <c r="AE35" s="165"/>
      <c r="AF35" s="156" t="str">
        <f t="shared" si="11"/>
        <v/>
      </c>
      <c r="AG35" s="156" t="str">
        <f t="shared" si="12"/>
        <v/>
      </c>
      <c r="AH35" s="156" t="str">
        <f t="shared" si="13"/>
        <v/>
      </c>
      <c r="AI35" s="156"/>
      <c r="AJ35" s="157">
        <f t="shared" si="32"/>
        <v>20</v>
      </c>
      <c r="AK35" s="158" t="str">
        <f t="shared" si="14"/>
        <v/>
      </c>
      <c r="AL35" s="159">
        <f>+C35</f>
        <v>20</v>
      </c>
      <c r="AM35" s="166" t="str">
        <f t="shared" si="16"/>
        <v/>
      </c>
      <c r="AN35" s="163" t="str">
        <f t="shared" si="2"/>
        <v/>
      </c>
      <c r="AO35" s="161" t="str">
        <f t="shared" si="3"/>
        <v/>
      </c>
      <c r="AP35" s="162" t="str">
        <f>+IF(AND(AM35=1,P35=4),+S35,"")</f>
        <v/>
      </c>
      <c r="AQ35" s="85" t="str">
        <f>+IF($L35="","",IF($L35=1,1,""))</f>
        <v/>
      </c>
      <c r="AR35" s="160" t="str">
        <f>+IF(AND(AQ35=1,P35=6),6,"")</f>
        <v/>
      </c>
      <c r="AS35" s="161" t="str">
        <f t="shared" si="4"/>
        <v/>
      </c>
      <c r="AT35" s="160" t="str">
        <f>+IF(AND(AQ35=1,P35=6),+S35,"")</f>
        <v/>
      </c>
      <c r="AU35" s="85" t="str">
        <f>+IF($L35="","",IF($L35=1,1,""))</f>
        <v/>
      </c>
      <c r="AV35" s="160" t="str">
        <f>+IF(AND(AU35=1,P35=8),8,"")</f>
        <v/>
      </c>
      <c r="AW35" s="431" t="str">
        <f t="shared" si="23"/>
        <v/>
      </c>
      <c r="AX35" s="160" t="str">
        <f t="shared" si="24"/>
        <v/>
      </c>
      <c r="AY35" s="85" t="str">
        <f>+IF($L35="","",IF($L35=1,1,""))</f>
        <v/>
      </c>
      <c r="AZ35" s="160" t="str">
        <f>+IF(AND(AY35=1,P35=10),10,"")</f>
        <v/>
      </c>
      <c r="BA35" s="161" t="str">
        <f t="shared" si="5"/>
        <v/>
      </c>
      <c r="BB35" s="160" t="str">
        <f t="shared" si="27"/>
        <v/>
      </c>
      <c r="BC35" s="85" t="str">
        <f>+IF($L35="","",IF($L35=1,1,""))</f>
        <v/>
      </c>
      <c r="BD35" s="160" t="str">
        <f>+IF(AND(BC35=1,P35=12),12,"")</f>
        <v/>
      </c>
      <c r="BE35" s="161" t="str">
        <f t="shared" si="6"/>
        <v/>
      </c>
      <c r="BF35" s="163" t="str">
        <f>+IF(AND(BC35=1,P35=12),+S35,"")</f>
        <v/>
      </c>
      <c r="BG35" s="46"/>
      <c r="BH35" s="84"/>
      <c r="BI35" s="55"/>
      <c r="BJ35" s="55"/>
      <c r="BK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row>
    <row r="36" spans="1:157" s="167" customFormat="1" ht="24" customHeight="1" thickTop="1" thickBot="1" x14ac:dyDescent="0.3">
      <c r="A36" s="55"/>
      <c r="B36" s="55"/>
      <c r="C36" s="130">
        <f t="shared" si="31"/>
        <v>21</v>
      </c>
      <c r="D36" s="112"/>
      <c r="E36" s="345"/>
      <c r="F36" s="112"/>
      <c r="G36" s="487"/>
      <c r="H36" s="488"/>
      <c r="I36" s="488"/>
      <c r="J36" s="488"/>
      <c r="K36" s="489"/>
      <c r="L36" s="108"/>
      <c r="M36" s="108"/>
      <c r="N36" s="108"/>
      <c r="O36" s="323"/>
      <c r="P36" s="109"/>
      <c r="Q36" s="108"/>
      <c r="R36" s="108"/>
      <c r="S36" s="109"/>
      <c r="T36" s="344" t="str">
        <f>IF(E36="","",IF($K$8="X","",+'QC thin lift'!I48))</f>
        <v/>
      </c>
      <c r="U36" s="109"/>
      <c r="V36" s="125" t="str">
        <f t="shared" si="0"/>
        <v/>
      </c>
      <c r="W36" s="126" t="str">
        <f t="shared" si="7"/>
        <v/>
      </c>
      <c r="X36" s="127" t="str">
        <f t="shared" si="33"/>
        <v/>
      </c>
      <c r="Y36" s="128" t="str">
        <f t="shared" si="9"/>
        <v/>
      </c>
      <c r="Z36" s="129" t="str">
        <f t="shared" si="34"/>
        <v/>
      </c>
      <c r="AA36" s="164"/>
      <c r="AB36" s="165"/>
      <c r="AC36" s="165"/>
      <c r="AD36" s="165"/>
      <c r="AE36" s="165"/>
      <c r="AF36" s="156" t="str">
        <f t="shared" si="11"/>
        <v/>
      </c>
      <c r="AG36" s="156" t="str">
        <f t="shared" si="12"/>
        <v/>
      </c>
      <c r="AH36" s="156" t="str">
        <f>+IF(L36=3,S36,"")</f>
        <v/>
      </c>
      <c r="AI36" s="156"/>
      <c r="AJ36" s="157">
        <f t="shared" si="32"/>
        <v>21</v>
      </c>
      <c r="AK36" s="158" t="str">
        <f t="shared" si="14"/>
        <v/>
      </c>
      <c r="AL36" s="159">
        <f t="shared" si="15"/>
        <v>21</v>
      </c>
      <c r="AM36" s="166" t="str">
        <f>+IF($L36="","",IF($L36=1,1,""))</f>
        <v/>
      </c>
      <c r="AN36" s="163" t="str">
        <f t="shared" si="2"/>
        <v/>
      </c>
      <c r="AO36" s="161" t="str">
        <f t="shared" si="3"/>
        <v/>
      </c>
      <c r="AP36" s="162" t="str">
        <f t="shared" ref="AP36:AP45" si="35">+IF(AND(AM36=1,P36=4),+S36,"")</f>
        <v/>
      </c>
      <c r="AQ36" s="85" t="str">
        <f t="shared" si="18"/>
        <v/>
      </c>
      <c r="AR36" s="160" t="str">
        <f t="shared" ref="AR36:AR45" si="36">+IF(AND(AQ36=1,P36=6),6,"")</f>
        <v/>
      </c>
      <c r="AS36" s="161" t="str">
        <f t="shared" si="4"/>
        <v/>
      </c>
      <c r="AT36" s="160" t="str">
        <f t="shared" ref="AT36:AT45" si="37">+IF(AND(AQ36=1,P36=6),+S36,"")</f>
        <v/>
      </c>
      <c r="AU36" s="85" t="str">
        <f t="shared" si="21"/>
        <v/>
      </c>
      <c r="AV36" s="160" t="str">
        <f t="shared" ref="AV36:AV45" si="38">+IF(AND(AU36=1,P36=8),8,"")</f>
        <v/>
      </c>
      <c r="AW36" s="431" t="str">
        <f t="shared" si="23"/>
        <v/>
      </c>
      <c r="AX36" s="160" t="str">
        <f t="shared" si="24"/>
        <v/>
      </c>
      <c r="AY36" s="85" t="str">
        <f t="shared" si="25"/>
        <v/>
      </c>
      <c r="AZ36" s="160" t="str">
        <f t="shared" ref="AZ36:AZ45" si="39">+IF(AND(AY36=1,P36=10),10,"")</f>
        <v/>
      </c>
      <c r="BA36" s="161" t="str">
        <f t="shared" si="5"/>
        <v/>
      </c>
      <c r="BB36" s="160" t="str">
        <f t="shared" si="27"/>
        <v/>
      </c>
      <c r="BC36" s="85" t="str">
        <f t="shared" si="28"/>
        <v/>
      </c>
      <c r="BD36" s="160" t="str">
        <f t="shared" ref="BD36:BD45" si="40">+IF(AND(BC36=1,P36=12),12,"")</f>
        <v/>
      </c>
      <c r="BE36" s="161" t="str">
        <f t="shared" si="6"/>
        <v/>
      </c>
      <c r="BF36" s="163" t="str">
        <f t="shared" ref="BF36:BF45" si="41">+IF(AND(BC36=1,P36=12),+S36,"")</f>
        <v/>
      </c>
      <c r="BG36" s="46"/>
      <c r="BH36" s="84"/>
      <c r="BI36" s="55"/>
      <c r="BJ36" s="55"/>
      <c r="BK36" s="55"/>
      <c r="BL36" s="50"/>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row>
    <row r="37" spans="1:157" s="50" customFormat="1" ht="24" customHeight="1" thickTop="1" thickBot="1" x14ac:dyDescent="0.3">
      <c r="C37" s="130">
        <f t="shared" si="31"/>
        <v>22</v>
      </c>
      <c r="D37" s="112"/>
      <c r="E37" s="345"/>
      <c r="F37" s="112"/>
      <c r="G37" s="487"/>
      <c r="H37" s="488"/>
      <c r="I37" s="488"/>
      <c r="J37" s="488"/>
      <c r="K37" s="489"/>
      <c r="L37" s="108"/>
      <c r="M37" s="108"/>
      <c r="N37" s="108"/>
      <c r="O37" s="323"/>
      <c r="P37" s="109"/>
      <c r="Q37" s="108"/>
      <c r="R37" s="108"/>
      <c r="S37" s="109"/>
      <c r="T37" s="344" t="str">
        <f>IF(E37="","",IF($K$8="X","",+'QC thin lift'!I49))</f>
        <v/>
      </c>
      <c r="U37" s="109"/>
      <c r="V37" s="125" t="str">
        <f t="shared" si="0"/>
        <v/>
      </c>
      <c r="W37" s="126" t="str">
        <f t="shared" si="7"/>
        <v/>
      </c>
      <c r="X37" s="127" t="str">
        <f t="shared" si="33"/>
        <v/>
      </c>
      <c r="Y37" s="128" t="str">
        <f t="shared" si="9"/>
        <v/>
      </c>
      <c r="Z37" s="129" t="str">
        <f t="shared" si="34"/>
        <v/>
      </c>
      <c r="AA37" s="164"/>
      <c r="AB37" s="165"/>
      <c r="AC37" s="165"/>
      <c r="AD37" s="165"/>
      <c r="AE37" s="165"/>
      <c r="AF37" s="156" t="str">
        <f t="shared" si="11"/>
        <v/>
      </c>
      <c r="AG37" s="156" t="str">
        <f t="shared" si="12"/>
        <v/>
      </c>
      <c r="AH37" s="156" t="str">
        <f t="shared" si="13"/>
        <v/>
      </c>
      <c r="AI37" s="156"/>
      <c r="AJ37" s="157">
        <f t="shared" si="32"/>
        <v>22</v>
      </c>
      <c r="AK37" s="158" t="str">
        <f t="shared" si="14"/>
        <v/>
      </c>
      <c r="AL37" s="159">
        <f t="shared" si="15"/>
        <v>22</v>
      </c>
      <c r="AM37" s="166" t="str">
        <f t="shared" si="16"/>
        <v/>
      </c>
      <c r="AN37" s="163" t="str">
        <f t="shared" si="2"/>
        <v/>
      </c>
      <c r="AO37" s="161" t="str">
        <f t="shared" si="3"/>
        <v/>
      </c>
      <c r="AP37" s="162" t="str">
        <f t="shared" si="35"/>
        <v/>
      </c>
      <c r="AQ37" s="85" t="str">
        <f t="shared" si="18"/>
        <v/>
      </c>
      <c r="AR37" s="160" t="str">
        <f t="shared" si="36"/>
        <v/>
      </c>
      <c r="AS37" s="161" t="str">
        <f t="shared" si="4"/>
        <v/>
      </c>
      <c r="AT37" s="160" t="str">
        <f t="shared" si="37"/>
        <v/>
      </c>
      <c r="AU37" s="85" t="str">
        <f t="shared" si="21"/>
        <v/>
      </c>
      <c r="AV37" s="160" t="str">
        <f t="shared" si="38"/>
        <v/>
      </c>
      <c r="AW37" s="431" t="str">
        <f t="shared" si="23"/>
        <v/>
      </c>
      <c r="AX37" s="160" t="str">
        <f t="shared" si="24"/>
        <v/>
      </c>
      <c r="AY37" s="85" t="str">
        <f t="shared" si="25"/>
        <v/>
      </c>
      <c r="AZ37" s="160" t="str">
        <f t="shared" si="39"/>
        <v/>
      </c>
      <c r="BA37" s="161" t="str">
        <f t="shared" si="5"/>
        <v/>
      </c>
      <c r="BB37" s="160" t="str">
        <f t="shared" si="27"/>
        <v/>
      </c>
      <c r="BC37" s="85" t="str">
        <f t="shared" si="28"/>
        <v/>
      </c>
      <c r="BD37" s="160" t="str">
        <f t="shared" si="40"/>
        <v/>
      </c>
      <c r="BE37" s="161" t="str">
        <f t="shared" si="6"/>
        <v/>
      </c>
      <c r="BF37" s="163" t="str">
        <f t="shared" si="41"/>
        <v/>
      </c>
      <c r="BG37" s="46"/>
      <c r="BH37" s="84"/>
      <c r="BI37" s="55"/>
      <c r="BJ37" s="55"/>
      <c r="BK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row>
    <row r="38" spans="1:157" s="50" customFormat="1" ht="24" customHeight="1" thickTop="1" thickBot="1" x14ac:dyDescent="0.3">
      <c r="C38" s="130">
        <f t="shared" si="31"/>
        <v>23</v>
      </c>
      <c r="D38" s="112"/>
      <c r="E38" s="345"/>
      <c r="F38" s="112"/>
      <c r="G38" s="487"/>
      <c r="H38" s="488"/>
      <c r="I38" s="488"/>
      <c r="J38" s="488"/>
      <c r="K38" s="489"/>
      <c r="L38" s="108"/>
      <c r="M38" s="457" t="str">
        <f>+K5</f>
        <v xml:space="preserve">MASTER </v>
      </c>
      <c r="N38" s="108"/>
      <c r="O38" s="323"/>
      <c r="P38" s="109"/>
      <c r="Q38" s="108"/>
      <c r="R38" s="108"/>
      <c r="S38" s="109"/>
      <c r="T38" s="344" t="str">
        <f>IF(E38="","",IF($K$8="X","",+'QC thin lift'!I50))</f>
        <v/>
      </c>
      <c r="U38" s="109"/>
      <c r="V38" s="125" t="str">
        <f t="shared" si="0"/>
        <v/>
      </c>
      <c r="W38" s="126" t="str">
        <f t="shared" si="7"/>
        <v/>
      </c>
      <c r="X38" s="127" t="str">
        <f t="shared" si="33"/>
        <v/>
      </c>
      <c r="Y38" s="128" t="str">
        <f t="shared" si="9"/>
        <v/>
      </c>
      <c r="Z38" s="129" t="str">
        <f t="shared" si="34"/>
        <v/>
      </c>
      <c r="AA38" s="164"/>
      <c r="AB38" s="165"/>
      <c r="AC38" s="165"/>
      <c r="AD38" s="165"/>
      <c r="AE38" s="165"/>
      <c r="AF38" s="156" t="str">
        <f t="shared" si="11"/>
        <v/>
      </c>
      <c r="AG38" s="156" t="str">
        <f t="shared" si="12"/>
        <v/>
      </c>
      <c r="AH38" s="156" t="str">
        <f t="shared" si="13"/>
        <v/>
      </c>
      <c r="AI38" s="156"/>
      <c r="AJ38" s="157">
        <f t="shared" si="32"/>
        <v>23</v>
      </c>
      <c r="AK38" s="158" t="str">
        <f t="shared" si="14"/>
        <v/>
      </c>
      <c r="AL38" s="159">
        <f t="shared" si="15"/>
        <v>23</v>
      </c>
      <c r="AM38" s="166" t="str">
        <f t="shared" si="16"/>
        <v/>
      </c>
      <c r="AN38" s="163" t="str">
        <f t="shared" si="2"/>
        <v/>
      </c>
      <c r="AO38" s="161" t="str">
        <f t="shared" si="3"/>
        <v/>
      </c>
      <c r="AP38" s="162" t="str">
        <f t="shared" si="35"/>
        <v/>
      </c>
      <c r="AQ38" s="85" t="str">
        <f t="shared" si="18"/>
        <v/>
      </c>
      <c r="AR38" s="160" t="str">
        <f t="shared" si="36"/>
        <v/>
      </c>
      <c r="AS38" s="161" t="str">
        <f t="shared" si="4"/>
        <v/>
      </c>
      <c r="AT38" s="160" t="str">
        <f t="shared" si="37"/>
        <v/>
      </c>
      <c r="AU38" s="85" t="str">
        <f t="shared" si="21"/>
        <v/>
      </c>
      <c r="AV38" s="160" t="str">
        <f t="shared" si="38"/>
        <v/>
      </c>
      <c r="AW38" s="431" t="str">
        <f t="shared" si="23"/>
        <v/>
      </c>
      <c r="AX38" s="160" t="str">
        <f t="shared" si="24"/>
        <v/>
      </c>
      <c r="AY38" s="85" t="str">
        <f t="shared" si="25"/>
        <v/>
      </c>
      <c r="AZ38" s="160" t="str">
        <f t="shared" si="39"/>
        <v/>
      </c>
      <c r="BA38" s="161" t="str">
        <f t="shared" si="5"/>
        <v/>
      </c>
      <c r="BB38" s="160" t="str">
        <f t="shared" si="27"/>
        <v/>
      </c>
      <c r="BC38" s="85" t="str">
        <f t="shared" si="28"/>
        <v/>
      </c>
      <c r="BD38" s="160" t="str">
        <f t="shared" si="40"/>
        <v/>
      </c>
      <c r="BE38" s="161" t="str">
        <f t="shared" si="6"/>
        <v/>
      </c>
      <c r="BF38" s="163" t="str">
        <f t="shared" si="41"/>
        <v/>
      </c>
      <c r="BG38" s="46"/>
      <c r="BH38" s="84"/>
      <c r="BI38" s="55"/>
      <c r="BJ38" s="55"/>
      <c r="BK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row>
    <row r="39" spans="1:157" s="169" customFormat="1" ht="24" customHeight="1" thickTop="1" thickBot="1" x14ac:dyDescent="0.3">
      <c r="A39" s="55"/>
      <c r="B39" s="55"/>
      <c r="C39" s="130">
        <f t="shared" si="31"/>
        <v>24</v>
      </c>
      <c r="D39" s="112"/>
      <c r="E39" s="345"/>
      <c r="F39" s="112"/>
      <c r="G39" s="487"/>
      <c r="H39" s="488"/>
      <c r="I39" s="488"/>
      <c r="J39" s="488"/>
      <c r="K39" s="489"/>
      <c r="L39" s="108"/>
      <c r="M39" s="108"/>
      <c r="N39" s="108"/>
      <c r="O39" s="323"/>
      <c r="P39" s="109"/>
      <c r="Q39" s="108"/>
      <c r="R39" s="108"/>
      <c r="S39" s="109"/>
      <c r="T39" s="344" t="str">
        <f>IF(E39="","",IF($K$8="X","",+'QC thin lift'!I51))</f>
        <v/>
      </c>
      <c r="U39" s="109"/>
      <c r="V39" s="125" t="str">
        <f t="shared" si="0"/>
        <v/>
      </c>
      <c r="W39" s="126" t="str">
        <f t="shared" si="7"/>
        <v/>
      </c>
      <c r="X39" s="127" t="str">
        <f t="shared" si="33"/>
        <v/>
      </c>
      <c r="Y39" s="128" t="str">
        <f t="shared" si="9"/>
        <v/>
      </c>
      <c r="Z39" s="129" t="str">
        <f t="shared" si="34"/>
        <v/>
      </c>
      <c r="AA39" s="164"/>
      <c r="AB39" s="165"/>
      <c r="AC39" s="165"/>
      <c r="AD39" s="165"/>
      <c r="AE39" s="165"/>
      <c r="AF39" s="156" t="str">
        <f t="shared" si="11"/>
        <v/>
      </c>
      <c r="AG39" s="156" t="str">
        <f t="shared" si="12"/>
        <v/>
      </c>
      <c r="AH39" s="156" t="str">
        <f t="shared" si="13"/>
        <v/>
      </c>
      <c r="AI39" s="156"/>
      <c r="AJ39" s="157">
        <f t="shared" si="32"/>
        <v>24</v>
      </c>
      <c r="AK39" s="158" t="str">
        <f t="shared" si="14"/>
        <v/>
      </c>
      <c r="AL39" s="159">
        <f t="shared" si="15"/>
        <v>24</v>
      </c>
      <c r="AM39" s="166" t="str">
        <f t="shared" si="16"/>
        <v/>
      </c>
      <c r="AN39" s="163" t="str">
        <f t="shared" si="2"/>
        <v/>
      </c>
      <c r="AO39" s="161" t="str">
        <f t="shared" si="3"/>
        <v/>
      </c>
      <c r="AP39" s="162" t="str">
        <f t="shared" si="35"/>
        <v/>
      </c>
      <c r="AQ39" s="85" t="str">
        <f t="shared" si="18"/>
        <v/>
      </c>
      <c r="AR39" s="160" t="str">
        <f t="shared" si="36"/>
        <v/>
      </c>
      <c r="AS39" s="161" t="str">
        <f t="shared" si="4"/>
        <v/>
      </c>
      <c r="AT39" s="160" t="str">
        <f t="shared" si="37"/>
        <v/>
      </c>
      <c r="AU39" s="85" t="str">
        <f t="shared" si="21"/>
        <v/>
      </c>
      <c r="AV39" s="160" t="str">
        <f t="shared" si="38"/>
        <v/>
      </c>
      <c r="AW39" s="431" t="str">
        <f t="shared" si="23"/>
        <v/>
      </c>
      <c r="AX39" s="160" t="str">
        <f t="shared" si="24"/>
        <v/>
      </c>
      <c r="AY39" s="85" t="str">
        <f t="shared" si="25"/>
        <v/>
      </c>
      <c r="AZ39" s="160" t="str">
        <f t="shared" si="39"/>
        <v/>
      </c>
      <c r="BA39" s="161" t="str">
        <f t="shared" si="5"/>
        <v/>
      </c>
      <c r="BB39" s="160" t="str">
        <f t="shared" si="27"/>
        <v/>
      </c>
      <c r="BC39" s="85" t="str">
        <f t="shared" si="28"/>
        <v/>
      </c>
      <c r="BD39" s="160" t="str">
        <f t="shared" si="40"/>
        <v/>
      </c>
      <c r="BE39" s="161" t="str">
        <f t="shared" si="6"/>
        <v/>
      </c>
      <c r="BF39" s="163" t="str">
        <f t="shared" si="41"/>
        <v/>
      </c>
      <c r="BG39" s="46"/>
      <c r="BH39" s="84"/>
      <c r="BI39" s="55"/>
      <c r="BJ39" s="274">
        <f>(141.8+141.2)/2</f>
        <v>141.5</v>
      </c>
      <c r="BK39" s="55"/>
      <c r="BL39" s="50"/>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row>
    <row r="40" spans="1:157" s="50" customFormat="1" ht="24" customHeight="1" thickTop="1" thickBot="1" x14ac:dyDescent="0.3">
      <c r="C40" s="130">
        <f t="shared" si="31"/>
        <v>25</v>
      </c>
      <c r="D40" s="112"/>
      <c r="E40" s="345"/>
      <c r="F40" s="112"/>
      <c r="G40" s="487"/>
      <c r="H40" s="488"/>
      <c r="I40" s="488"/>
      <c r="J40" s="488"/>
      <c r="K40" s="489"/>
      <c r="L40" s="108"/>
      <c r="M40" s="108"/>
      <c r="N40" s="108"/>
      <c r="O40" s="323"/>
      <c r="P40" s="109"/>
      <c r="Q40" s="108"/>
      <c r="R40" s="108"/>
      <c r="S40" s="109"/>
      <c r="T40" s="344" t="str">
        <f>IF(E40="","",IF($K$8="X","",+'QC thin lift'!I52))</f>
        <v/>
      </c>
      <c r="U40" s="109"/>
      <c r="V40" s="125" t="str">
        <f t="shared" si="0"/>
        <v/>
      </c>
      <c r="W40" s="126" t="str">
        <f t="shared" si="7"/>
        <v/>
      </c>
      <c r="X40" s="127" t="str">
        <f t="shared" si="33"/>
        <v/>
      </c>
      <c r="Y40" s="128" t="str">
        <f t="shared" si="9"/>
        <v/>
      </c>
      <c r="Z40" s="129" t="str">
        <f t="shared" si="34"/>
        <v/>
      </c>
      <c r="AA40" s="164"/>
      <c r="AB40" s="165"/>
      <c r="AC40" s="165"/>
      <c r="AD40" s="165"/>
      <c r="AE40" s="165"/>
      <c r="AF40" s="156" t="str">
        <f t="shared" si="11"/>
        <v/>
      </c>
      <c r="AG40" s="156" t="str">
        <f t="shared" si="12"/>
        <v/>
      </c>
      <c r="AH40" s="156" t="str">
        <f t="shared" si="13"/>
        <v/>
      </c>
      <c r="AI40" s="156" t="str">
        <f t="shared" ref="AI40:AI45" si="42">+IF(L40=1,X40,"")</f>
        <v/>
      </c>
      <c r="AJ40" s="157">
        <f t="shared" si="32"/>
        <v>25</v>
      </c>
      <c r="AK40" s="158" t="str">
        <f t="shared" si="14"/>
        <v/>
      </c>
      <c r="AL40" s="159">
        <f t="shared" si="15"/>
        <v>25</v>
      </c>
      <c r="AM40" s="166" t="str">
        <f t="shared" si="16"/>
        <v/>
      </c>
      <c r="AN40" s="163" t="str">
        <f t="shared" si="2"/>
        <v/>
      </c>
      <c r="AO40" s="161" t="str">
        <f t="shared" si="3"/>
        <v/>
      </c>
      <c r="AP40" s="162" t="str">
        <f t="shared" si="35"/>
        <v/>
      </c>
      <c r="AQ40" s="85" t="str">
        <f t="shared" si="18"/>
        <v/>
      </c>
      <c r="AR40" s="160" t="str">
        <f t="shared" si="36"/>
        <v/>
      </c>
      <c r="AS40" s="161" t="str">
        <f t="shared" si="4"/>
        <v/>
      </c>
      <c r="AT40" s="160" t="str">
        <f t="shared" si="37"/>
        <v/>
      </c>
      <c r="AU40" s="85" t="str">
        <f t="shared" si="21"/>
        <v/>
      </c>
      <c r="AV40" s="160" t="str">
        <f t="shared" si="38"/>
        <v/>
      </c>
      <c r="AW40" s="431" t="str">
        <f t="shared" si="23"/>
        <v/>
      </c>
      <c r="AX40" s="160" t="str">
        <f t="shared" si="24"/>
        <v/>
      </c>
      <c r="AY40" s="85" t="str">
        <f t="shared" si="25"/>
        <v/>
      </c>
      <c r="AZ40" s="160" t="str">
        <f t="shared" si="39"/>
        <v/>
      </c>
      <c r="BA40" s="161" t="str">
        <f t="shared" si="5"/>
        <v/>
      </c>
      <c r="BB40" s="160" t="str">
        <f t="shared" si="27"/>
        <v/>
      </c>
      <c r="BC40" s="85" t="str">
        <f t="shared" si="28"/>
        <v/>
      </c>
      <c r="BD40" s="160" t="str">
        <f t="shared" si="40"/>
        <v/>
      </c>
      <c r="BE40" s="161" t="str">
        <f t="shared" si="6"/>
        <v/>
      </c>
      <c r="BF40" s="163" t="str">
        <f t="shared" si="41"/>
        <v/>
      </c>
      <c r="BG40" s="46"/>
      <c r="BH40" s="84"/>
      <c r="BI40" s="55"/>
      <c r="BJ40" s="55"/>
      <c r="BK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row>
    <row r="41" spans="1:157" s="50" customFormat="1" ht="24" customHeight="1" thickTop="1" thickBot="1" x14ac:dyDescent="0.3">
      <c r="C41" s="130">
        <f t="shared" si="31"/>
        <v>26</v>
      </c>
      <c r="D41" s="112"/>
      <c r="E41" s="345"/>
      <c r="F41" s="112"/>
      <c r="G41" s="487"/>
      <c r="H41" s="488"/>
      <c r="I41" s="488"/>
      <c r="J41" s="488"/>
      <c r="K41" s="489"/>
      <c r="L41" s="108"/>
      <c r="M41" s="108"/>
      <c r="N41" s="108"/>
      <c r="O41" s="323"/>
      <c r="P41" s="109"/>
      <c r="Q41" s="108"/>
      <c r="R41" s="108"/>
      <c r="S41" s="109"/>
      <c r="T41" s="344" t="str">
        <f>IF(E41="","",IF($K$8="X","",+'QC thin lift'!I53))</f>
        <v/>
      </c>
      <c r="U41" s="109"/>
      <c r="V41" s="125" t="str">
        <f t="shared" si="0"/>
        <v/>
      </c>
      <c r="W41" s="126" t="str">
        <f t="shared" si="7"/>
        <v/>
      </c>
      <c r="X41" s="127" t="str">
        <f t="shared" si="33"/>
        <v/>
      </c>
      <c r="Y41" s="128" t="str">
        <f t="shared" si="9"/>
        <v/>
      </c>
      <c r="Z41" s="129" t="str">
        <f t="shared" si="34"/>
        <v/>
      </c>
      <c r="AA41" s="164"/>
      <c r="AB41" s="165"/>
      <c r="AC41" s="165"/>
      <c r="AD41" s="165"/>
      <c r="AE41" s="165"/>
      <c r="AF41" s="156" t="str">
        <f>+IF(L41=1,S41,"")</f>
        <v/>
      </c>
      <c r="AG41" s="156" t="str">
        <f t="shared" si="12"/>
        <v/>
      </c>
      <c r="AH41" s="156" t="str">
        <f t="shared" si="13"/>
        <v/>
      </c>
      <c r="AI41" s="156" t="str">
        <f t="shared" si="42"/>
        <v/>
      </c>
      <c r="AJ41" s="157">
        <f t="shared" si="32"/>
        <v>26</v>
      </c>
      <c r="AK41" s="158" t="str">
        <f t="shared" si="14"/>
        <v/>
      </c>
      <c r="AL41" s="159">
        <f t="shared" si="15"/>
        <v>26</v>
      </c>
      <c r="AM41" s="166" t="str">
        <f t="shared" si="16"/>
        <v/>
      </c>
      <c r="AN41" s="163" t="str">
        <f t="shared" si="2"/>
        <v/>
      </c>
      <c r="AO41" s="161" t="str">
        <f t="shared" si="3"/>
        <v/>
      </c>
      <c r="AP41" s="162" t="str">
        <f t="shared" si="35"/>
        <v/>
      </c>
      <c r="AQ41" s="85" t="str">
        <f t="shared" si="18"/>
        <v/>
      </c>
      <c r="AR41" s="160" t="str">
        <f t="shared" si="36"/>
        <v/>
      </c>
      <c r="AS41" s="161" t="str">
        <f t="shared" si="4"/>
        <v/>
      </c>
      <c r="AT41" s="160" t="str">
        <f t="shared" si="37"/>
        <v/>
      </c>
      <c r="AU41" s="85" t="str">
        <f t="shared" si="21"/>
        <v/>
      </c>
      <c r="AV41" s="160" t="str">
        <f t="shared" si="38"/>
        <v/>
      </c>
      <c r="AW41" s="431" t="str">
        <f t="shared" si="23"/>
        <v/>
      </c>
      <c r="AX41" s="160" t="str">
        <f t="shared" si="24"/>
        <v/>
      </c>
      <c r="AY41" s="85" t="str">
        <f t="shared" si="25"/>
        <v/>
      </c>
      <c r="AZ41" s="160" t="str">
        <f t="shared" si="39"/>
        <v/>
      </c>
      <c r="BA41" s="161" t="str">
        <f t="shared" si="5"/>
        <v/>
      </c>
      <c r="BB41" s="160" t="str">
        <f t="shared" si="27"/>
        <v/>
      </c>
      <c r="BC41" s="85" t="str">
        <f t="shared" si="28"/>
        <v/>
      </c>
      <c r="BD41" s="160" t="str">
        <f t="shared" si="40"/>
        <v/>
      </c>
      <c r="BE41" s="161" t="str">
        <f t="shared" si="6"/>
        <v/>
      </c>
      <c r="BF41" s="163" t="str">
        <f t="shared" si="41"/>
        <v/>
      </c>
      <c r="BG41" s="46"/>
      <c r="BH41" s="84"/>
      <c r="BI41" s="55"/>
      <c r="BJ41" s="55"/>
      <c r="BK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row>
    <row r="42" spans="1:157" s="50" customFormat="1" ht="24" customHeight="1" thickTop="1" thickBot="1" x14ac:dyDescent="0.3">
      <c r="C42" s="130">
        <f t="shared" si="31"/>
        <v>27</v>
      </c>
      <c r="D42" s="112"/>
      <c r="E42" s="345"/>
      <c r="F42" s="112"/>
      <c r="G42" s="487"/>
      <c r="H42" s="488"/>
      <c r="I42" s="488"/>
      <c r="J42" s="488"/>
      <c r="K42" s="489"/>
      <c r="L42" s="108"/>
      <c r="M42" s="108"/>
      <c r="N42" s="108"/>
      <c r="O42" s="323"/>
      <c r="P42" s="109"/>
      <c r="Q42" s="108"/>
      <c r="R42" s="108"/>
      <c r="S42" s="109"/>
      <c r="T42" s="344" t="str">
        <f>IF(E42="","",IF($K$8="X","",+'QC thin lift'!I54))</f>
        <v/>
      </c>
      <c r="U42" s="109"/>
      <c r="V42" s="125" t="str">
        <f t="shared" si="0"/>
        <v/>
      </c>
      <c r="W42" s="126" t="str">
        <f t="shared" si="7"/>
        <v/>
      </c>
      <c r="X42" s="127" t="str">
        <f t="shared" si="33"/>
        <v/>
      </c>
      <c r="Y42" s="128" t="str">
        <f>+IF(O42="","",IF(OR(O42="SG",O42="TP",O42="RG",O42="OG",O42="EMB"),90,IF(OR(O42="D",O42="FG",O42="FTG"),95,"")))</f>
        <v/>
      </c>
      <c r="Z42" s="129" t="str">
        <f t="shared" si="34"/>
        <v/>
      </c>
      <c r="AA42" s="164"/>
      <c r="AB42" s="165"/>
      <c r="AC42" s="165"/>
      <c r="AD42" s="165"/>
      <c r="AE42" s="165"/>
      <c r="AF42" s="156" t="str">
        <f t="shared" si="11"/>
        <v/>
      </c>
      <c r="AG42" s="156" t="str">
        <f t="shared" si="12"/>
        <v/>
      </c>
      <c r="AH42" s="156" t="str">
        <f t="shared" si="13"/>
        <v/>
      </c>
      <c r="AI42" s="156" t="str">
        <f t="shared" si="42"/>
        <v/>
      </c>
      <c r="AJ42" s="157">
        <f t="shared" si="32"/>
        <v>27</v>
      </c>
      <c r="AK42" s="158" t="str">
        <f t="shared" si="14"/>
        <v/>
      </c>
      <c r="AL42" s="159">
        <f t="shared" si="15"/>
        <v>27</v>
      </c>
      <c r="AM42" s="166" t="str">
        <f t="shared" si="16"/>
        <v/>
      </c>
      <c r="AN42" s="163" t="str">
        <f t="shared" si="2"/>
        <v/>
      </c>
      <c r="AO42" s="161" t="str">
        <f t="shared" si="3"/>
        <v/>
      </c>
      <c r="AP42" s="162" t="str">
        <f t="shared" si="35"/>
        <v/>
      </c>
      <c r="AQ42" s="85" t="str">
        <f t="shared" si="18"/>
        <v/>
      </c>
      <c r="AR42" s="160" t="str">
        <f t="shared" si="36"/>
        <v/>
      </c>
      <c r="AS42" s="161" t="str">
        <f t="shared" si="4"/>
        <v/>
      </c>
      <c r="AT42" s="160" t="str">
        <f t="shared" si="37"/>
        <v/>
      </c>
      <c r="AU42" s="85" t="str">
        <f t="shared" si="21"/>
        <v/>
      </c>
      <c r="AV42" s="160" t="str">
        <f t="shared" si="38"/>
        <v/>
      </c>
      <c r="AW42" s="431" t="str">
        <f t="shared" si="23"/>
        <v/>
      </c>
      <c r="AX42" s="160" t="str">
        <f t="shared" si="24"/>
        <v/>
      </c>
      <c r="AY42" s="85" t="str">
        <f t="shared" si="25"/>
        <v/>
      </c>
      <c r="AZ42" s="160" t="str">
        <f t="shared" si="39"/>
        <v/>
      </c>
      <c r="BA42" s="161" t="str">
        <f t="shared" si="5"/>
        <v/>
      </c>
      <c r="BB42" s="160" t="str">
        <f t="shared" si="27"/>
        <v/>
      </c>
      <c r="BC42" s="85" t="str">
        <f t="shared" si="28"/>
        <v/>
      </c>
      <c r="BD42" s="160" t="str">
        <f t="shared" si="40"/>
        <v/>
      </c>
      <c r="BE42" s="161" t="str">
        <f t="shared" si="6"/>
        <v/>
      </c>
      <c r="BF42" s="163" t="str">
        <f t="shared" si="41"/>
        <v/>
      </c>
      <c r="BG42" s="46"/>
      <c r="BH42" s="84"/>
      <c r="BI42" s="55"/>
      <c r="BJ42" s="55"/>
      <c r="BK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row>
    <row r="43" spans="1:157" s="50" customFormat="1" ht="24" customHeight="1" thickTop="1" thickBot="1" x14ac:dyDescent="0.3">
      <c r="C43" s="130">
        <f t="shared" si="31"/>
        <v>28</v>
      </c>
      <c r="D43" s="112"/>
      <c r="E43" s="345"/>
      <c r="F43" s="112"/>
      <c r="G43" s="487"/>
      <c r="H43" s="488"/>
      <c r="I43" s="488"/>
      <c r="J43" s="488"/>
      <c r="K43" s="489"/>
      <c r="L43" s="108"/>
      <c r="M43" s="108"/>
      <c r="N43" s="108"/>
      <c r="O43" s="323"/>
      <c r="P43" s="109"/>
      <c r="Q43" s="108"/>
      <c r="R43" s="108"/>
      <c r="S43" s="109"/>
      <c r="T43" s="344" t="str">
        <f>IF(E43="","",IF($K$8="X","",+'QC thin lift'!I55))</f>
        <v/>
      </c>
      <c r="U43" s="109"/>
      <c r="V43" s="125" t="str">
        <f t="shared" si="0"/>
        <v/>
      </c>
      <c r="W43" s="126" t="str">
        <f t="shared" si="7"/>
        <v/>
      </c>
      <c r="X43" s="127" t="str">
        <f>IF(OR(L43="",U43="",R43="",Q43=""),"",ROUNDUP(IF(L43="","",IF($K$8="X",(IF(L43=1,V43/$T$9*100,IF(L43=2,V43/$W$9*100,IF(L43=3,V43/$Z$9*100)))),IF($K$9="X",(IF(L43=1,S43/$T$8*100,IF(L43=2,S43/$W$8*100,IF(L43=3,S43/$Z$8*100,""))))))),0))</f>
        <v/>
      </c>
      <c r="Y43" s="128" t="str">
        <f t="shared" si="9"/>
        <v/>
      </c>
      <c r="Z43" s="129" t="str">
        <f t="shared" si="34"/>
        <v/>
      </c>
      <c r="AA43" s="164"/>
      <c r="AB43" s="165"/>
      <c r="AC43" s="165"/>
      <c r="AD43" s="165"/>
      <c r="AE43" s="165"/>
      <c r="AF43" s="156" t="str">
        <f t="shared" si="11"/>
        <v/>
      </c>
      <c r="AG43" s="156" t="str">
        <f t="shared" si="12"/>
        <v/>
      </c>
      <c r="AH43" s="156" t="str">
        <f t="shared" si="13"/>
        <v/>
      </c>
      <c r="AI43" s="156" t="str">
        <f t="shared" si="42"/>
        <v/>
      </c>
      <c r="AJ43" s="157">
        <f t="shared" si="32"/>
        <v>28</v>
      </c>
      <c r="AK43" s="158" t="str">
        <f t="shared" si="14"/>
        <v/>
      </c>
      <c r="AL43" s="159">
        <f t="shared" si="15"/>
        <v>28</v>
      </c>
      <c r="AM43" s="166" t="str">
        <f t="shared" si="16"/>
        <v/>
      </c>
      <c r="AN43" s="163" t="str">
        <f t="shared" si="2"/>
        <v/>
      </c>
      <c r="AO43" s="161" t="str">
        <f t="shared" si="3"/>
        <v/>
      </c>
      <c r="AP43" s="162" t="str">
        <f t="shared" si="35"/>
        <v/>
      </c>
      <c r="AQ43" s="85" t="str">
        <f t="shared" si="18"/>
        <v/>
      </c>
      <c r="AR43" s="160" t="str">
        <f t="shared" si="36"/>
        <v/>
      </c>
      <c r="AS43" s="161" t="str">
        <f t="shared" si="4"/>
        <v/>
      </c>
      <c r="AT43" s="160" t="str">
        <f t="shared" si="37"/>
        <v/>
      </c>
      <c r="AU43" s="85" t="str">
        <f t="shared" si="21"/>
        <v/>
      </c>
      <c r="AV43" s="160" t="str">
        <f t="shared" si="38"/>
        <v/>
      </c>
      <c r="AW43" s="431" t="str">
        <f t="shared" si="23"/>
        <v/>
      </c>
      <c r="AX43" s="160" t="str">
        <f t="shared" si="24"/>
        <v/>
      </c>
      <c r="AY43" s="85" t="str">
        <f t="shared" si="25"/>
        <v/>
      </c>
      <c r="AZ43" s="160" t="str">
        <f t="shared" si="39"/>
        <v/>
      </c>
      <c r="BA43" s="161" t="str">
        <f t="shared" si="5"/>
        <v/>
      </c>
      <c r="BB43" s="160" t="str">
        <f t="shared" si="27"/>
        <v/>
      </c>
      <c r="BC43" s="85" t="str">
        <f t="shared" si="28"/>
        <v/>
      </c>
      <c r="BD43" s="160" t="str">
        <f t="shared" si="40"/>
        <v/>
      </c>
      <c r="BE43" s="161" t="str">
        <f t="shared" si="6"/>
        <v/>
      </c>
      <c r="BF43" s="163" t="str">
        <f t="shared" si="41"/>
        <v/>
      </c>
      <c r="BG43" s="46"/>
      <c r="BH43" s="84"/>
      <c r="BI43" s="55"/>
      <c r="BJ43" s="55"/>
      <c r="BK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row>
    <row r="44" spans="1:157" s="50" customFormat="1" ht="24" customHeight="1" thickTop="1" thickBot="1" x14ac:dyDescent="0.3">
      <c r="C44" s="130">
        <f t="shared" si="31"/>
        <v>29</v>
      </c>
      <c r="D44" s="112"/>
      <c r="E44" s="345"/>
      <c r="F44" s="112"/>
      <c r="G44" s="487"/>
      <c r="H44" s="488"/>
      <c r="I44" s="488"/>
      <c r="J44" s="488"/>
      <c r="K44" s="489"/>
      <c r="L44" s="108"/>
      <c r="M44" s="108"/>
      <c r="N44" s="108"/>
      <c r="O44" s="323"/>
      <c r="P44" s="109"/>
      <c r="Q44" s="108"/>
      <c r="R44" s="108"/>
      <c r="S44" s="109"/>
      <c r="T44" s="344" t="str">
        <f>IF(E44="","",IF($K$8="X","",+'QC thin lift'!I56))</f>
        <v/>
      </c>
      <c r="U44" s="109"/>
      <c r="V44" s="125" t="str">
        <f t="shared" si="0"/>
        <v/>
      </c>
      <c r="W44" s="126" t="str">
        <f t="shared" si="7"/>
        <v/>
      </c>
      <c r="X44" s="127" t="str">
        <f t="shared" si="33"/>
        <v/>
      </c>
      <c r="Y44" s="128" t="str">
        <f t="shared" si="9"/>
        <v/>
      </c>
      <c r="Z44" s="129" t="str">
        <f t="shared" si="34"/>
        <v/>
      </c>
      <c r="AA44" s="164"/>
      <c r="AB44" s="165"/>
      <c r="AC44" s="165"/>
      <c r="AD44" s="165"/>
      <c r="AE44" s="165"/>
      <c r="AF44" s="156" t="str">
        <f t="shared" si="11"/>
        <v/>
      </c>
      <c r="AG44" s="156" t="str">
        <f t="shared" si="12"/>
        <v/>
      </c>
      <c r="AH44" s="156" t="str">
        <f t="shared" si="13"/>
        <v/>
      </c>
      <c r="AI44" s="156" t="str">
        <f t="shared" si="42"/>
        <v/>
      </c>
      <c r="AJ44" s="157">
        <f t="shared" si="32"/>
        <v>29</v>
      </c>
      <c r="AK44" s="158" t="str">
        <f t="shared" si="14"/>
        <v/>
      </c>
      <c r="AL44" s="159">
        <f t="shared" si="15"/>
        <v>29</v>
      </c>
      <c r="AM44" s="166" t="str">
        <f t="shared" si="16"/>
        <v/>
      </c>
      <c r="AN44" s="163" t="str">
        <f t="shared" si="2"/>
        <v/>
      </c>
      <c r="AO44" s="161" t="str">
        <f t="shared" si="3"/>
        <v/>
      </c>
      <c r="AP44" s="162" t="str">
        <f t="shared" si="35"/>
        <v/>
      </c>
      <c r="AQ44" s="85" t="str">
        <f t="shared" si="18"/>
        <v/>
      </c>
      <c r="AR44" s="160" t="str">
        <f t="shared" si="36"/>
        <v/>
      </c>
      <c r="AS44" s="161" t="str">
        <f t="shared" si="4"/>
        <v/>
      </c>
      <c r="AT44" s="160" t="str">
        <f t="shared" si="37"/>
        <v/>
      </c>
      <c r="AU44" s="85" t="str">
        <f t="shared" si="21"/>
        <v/>
      </c>
      <c r="AV44" s="160" t="str">
        <f t="shared" si="38"/>
        <v/>
      </c>
      <c r="AW44" s="431" t="str">
        <f t="shared" si="23"/>
        <v/>
      </c>
      <c r="AX44" s="160" t="str">
        <f t="shared" si="24"/>
        <v/>
      </c>
      <c r="AY44" s="85" t="str">
        <f t="shared" si="25"/>
        <v/>
      </c>
      <c r="AZ44" s="160" t="str">
        <f t="shared" si="39"/>
        <v/>
      </c>
      <c r="BA44" s="161" t="str">
        <f t="shared" si="5"/>
        <v/>
      </c>
      <c r="BB44" s="160" t="str">
        <f t="shared" si="27"/>
        <v/>
      </c>
      <c r="BC44" s="85" t="str">
        <f t="shared" si="28"/>
        <v/>
      </c>
      <c r="BD44" s="160" t="str">
        <f t="shared" si="40"/>
        <v/>
      </c>
      <c r="BE44" s="161" t="str">
        <f t="shared" si="6"/>
        <v/>
      </c>
      <c r="BF44" s="163" t="str">
        <f t="shared" si="41"/>
        <v/>
      </c>
      <c r="BG44" s="46"/>
      <c r="BH44" s="84"/>
      <c r="BI44" s="55"/>
      <c r="BJ44" s="55"/>
      <c r="BK44" s="55"/>
      <c r="BM44" s="55"/>
      <c r="BN44" s="55"/>
      <c r="BO44" s="55"/>
      <c r="BP44" s="55" t="str">
        <f>+IF(BI44&gt;0,BI44,"")</f>
        <v/>
      </c>
      <c r="BQ44" s="55"/>
      <c r="BR44" s="55"/>
      <c r="BS44" s="55" t="str">
        <f>+IF(AN44=4,IF($E44&gt;$E40,+SUM(1+2),""),"")</f>
        <v/>
      </c>
      <c r="BT44" s="55" t="str">
        <f>+IF(AR44=6,IF($E44&gt;$E40,+SUM(1+2),""),"")</f>
        <v/>
      </c>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row>
    <row r="45" spans="1:157" s="167" customFormat="1" ht="24" customHeight="1" thickTop="1" thickBot="1" x14ac:dyDescent="0.3">
      <c r="A45" s="55"/>
      <c r="B45" s="55"/>
      <c r="C45" s="130">
        <f t="shared" si="31"/>
        <v>30</v>
      </c>
      <c r="D45" s="112"/>
      <c r="E45" s="345"/>
      <c r="F45" s="112"/>
      <c r="G45" s="557"/>
      <c r="H45" s="558"/>
      <c r="I45" s="558"/>
      <c r="J45" s="558"/>
      <c r="K45" s="559"/>
      <c r="L45" s="108"/>
      <c r="M45" s="108"/>
      <c r="N45" s="108"/>
      <c r="O45" s="323"/>
      <c r="P45" s="109"/>
      <c r="Q45" s="108"/>
      <c r="R45" s="108"/>
      <c r="S45" s="109"/>
      <c r="T45" s="344" t="str">
        <f>IF(E45="","",IF($K$8="X","",+'QC thin lift'!I57))</f>
        <v/>
      </c>
      <c r="U45" s="109"/>
      <c r="V45" s="125" t="str">
        <f t="shared" si="0"/>
        <v/>
      </c>
      <c r="W45" s="126" t="str">
        <f t="shared" si="7"/>
        <v/>
      </c>
      <c r="X45" s="127" t="str">
        <f t="shared" si="33"/>
        <v/>
      </c>
      <c r="Y45" s="128" t="str">
        <f t="shared" si="9"/>
        <v/>
      </c>
      <c r="Z45" s="129" t="str">
        <f t="shared" si="34"/>
        <v/>
      </c>
      <c r="AA45" s="164"/>
      <c r="AB45" s="165"/>
      <c r="AC45" s="165"/>
      <c r="AD45" s="165"/>
      <c r="AE45" s="165"/>
      <c r="AF45" s="156" t="str">
        <f t="shared" si="11"/>
        <v/>
      </c>
      <c r="AG45" s="156" t="str">
        <f t="shared" si="12"/>
        <v/>
      </c>
      <c r="AH45" s="156" t="str">
        <f t="shared" si="13"/>
        <v/>
      </c>
      <c r="AI45" s="156" t="str">
        <f t="shared" si="42"/>
        <v/>
      </c>
      <c r="AJ45" s="170">
        <f t="shared" si="32"/>
        <v>30</v>
      </c>
      <c r="AK45" s="158" t="str">
        <f t="shared" si="14"/>
        <v/>
      </c>
      <c r="AL45" s="171">
        <f t="shared" si="15"/>
        <v>30</v>
      </c>
      <c r="AM45" s="166" t="str">
        <f t="shared" si="16"/>
        <v/>
      </c>
      <c r="AN45" s="163" t="str">
        <f t="shared" si="2"/>
        <v/>
      </c>
      <c r="AO45" s="161" t="str">
        <f t="shared" si="3"/>
        <v/>
      </c>
      <c r="AP45" s="162" t="str">
        <f t="shared" si="35"/>
        <v/>
      </c>
      <c r="AQ45" s="85" t="str">
        <f t="shared" si="18"/>
        <v/>
      </c>
      <c r="AR45" s="160" t="str">
        <f t="shared" si="36"/>
        <v/>
      </c>
      <c r="AS45" s="161" t="str">
        <f t="shared" si="4"/>
        <v/>
      </c>
      <c r="AT45" s="160" t="str">
        <f t="shared" si="37"/>
        <v/>
      </c>
      <c r="AU45" s="85" t="str">
        <f t="shared" si="21"/>
        <v/>
      </c>
      <c r="AV45" s="160" t="str">
        <f t="shared" si="38"/>
        <v/>
      </c>
      <c r="AW45" s="431" t="str">
        <f t="shared" si="23"/>
        <v/>
      </c>
      <c r="AX45" s="160" t="str">
        <f t="shared" si="24"/>
        <v/>
      </c>
      <c r="AY45" s="85" t="str">
        <f t="shared" si="25"/>
        <v/>
      </c>
      <c r="AZ45" s="160" t="str">
        <f t="shared" si="39"/>
        <v/>
      </c>
      <c r="BA45" s="161" t="str">
        <f t="shared" si="5"/>
        <v/>
      </c>
      <c r="BB45" s="160" t="str">
        <f>+IF(AND(AY45=1,P45=10),+S45,"")</f>
        <v/>
      </c>
      <c r="BC45" s="85" t="str">
        <f t="shared" si="28"/>
        <v/>
      </c>
      <c r="BD45" s="160" t="str">
        <f t="shared" si="40"/>
        <v/>
      </c>
      <c r="BE45" s="161" t="str">
        <f t="shared" si="6"/>
        <v/>
      </c>
      <c r="BF45" s="163" t="str">
        <f t="shared" si="41"/>
        <v/>
      </c>
      <c r="BG45" s="46"/>
      <c r="BH45" s="84"/>
      <c r="BI45" s="55"/>
      <c r="BJ45" s="55"/>
      <c r="BK45" s="55"/>
      <c r="BL45" s="50"/>
      <c r="BM45" s="55"/>
      <c r="BN45" s="55"/>
      <c r="BO45" s="55"/>
      <c r="BP45" s="55" t="str">
        <f>+IF(BI45&gt;0,BI45,"")</f>
        <v/>
      </c>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row>
    <row r="46" spans="1:157" s="54" customFormat="1" ht="18" customHeight="1" thickTop="1" thickBot="1" x14ac:dyDescent="0.3">
      <c r="C46" s="504" t="s">
        <v>38</v>
      </c>
      <c r="D46" s="505"/>
      <c r="E46" s="505"/>
      <c r="F46" s="505"/>
      <c r="G46" s="505"/>
      <c r="H46" s="505"/>
      <c r="I46" s="505"/>
      <c r="J46" s="505"/>
      <c r="K46" s="505"/>
      <c r="L46" s="505"/>
      <c r="M46" s="505"/>
      <c r="N46" s="505"/>
      <c r="O46" s="505"/>
      <c r="P46" s="505"/>
      <c r="Q46" s="505"/>
      <c r="R46" s="505"/>
      <c r="S46" s="505"/>
      <c r="T46" s="505"/>
      <c r="U46" s="505"/>
      <c r="V46" s="505"/>
      <c r="W46" s="505"/>
      <c r="X46" s="505"/>
      <c r="Y46" s="505"/>
      <c r="Z46" s="69"/>
      <c r="AA46" s="172"/>
      <c r="AB46" s="173" t="s">
        <v>112</v>
      </c>
      <c r="AC46" s="173"/>
      <c r="AD46" s="173"/>
      <c r="AE46" s="173" t="s">
        <v>22</v>
      </c>
      <c r="AF46" s="268">
        <f>+COUNT(AF16:AF45)</f>
        <v>14</v>
      </c>
      <c r="AG46" s="268">
        <f>+COUNT(AG16:AG45)</f>
        <v>0</v>
      </c>
      <c r="AH46" s="269">
        <f>+COUNT(AH16:AH45)</f>
        <v>0</v>
      </c>
      <c r="AI46" s="156" t="s">
        <v>104</v>
      </c>
      <c r="AJ46" s="174"/>
      <c r="AK46" s="175"/>
      <c r="AL46" s="148" t="str">
        <f>+C46</f>
        <v>Page 1 of 2</v>
      </c>
      <c r="AM46" s="55"/>
      <c r="AN46" s="46"/>
      <c r="AO46" s="176" t="str">
        <f>+IF(COUNT(AO16:AO45)&lt;3,"N/A",IF(SUM(AO16:AO45)="","",RSQ(AO16:AO45,AP16:AP45)))</f>
        <v>N/A</v>
      </c>
      <c r="AP46" s="177"/>
      <c r="AQ46" s="178"/>
      <c r="AR46" s="46"/>
      <c r="AS46" s="176" t="str">
        <f>+IF(COUNT(AS16:AS45)&lt;3,"N/A",IF(SUM(AS16:AS45)="","",RSQ(AS16:AS45,AT16:AT45)))</f>
        <v>N/A</v>
      </c>
      <c r="AT46" s="46"/>
      <c r="AU46" s="179" t="str">
        <f>+IF($L46="","",$L46)</f>
        <v/>
      </c>
      <c r="AV46" s="46"/>
      <c r="AW46" s="176">
        <f>+IF(COUNT(AW16:AW45)&lt;3,"N/A",IF(SUM(AW16:AW45)="","",RSQ(AW16:AW45,AX16:AX45)))</f>
        <v>1.5353751748388366E-2</v>
      </c>
      <c r="AX46" s="46"/>
      <c r="AY46" s="179" t="str">
        <f>+IF($L46="","",$L46)</f>
        <v/>
      </c>
      <c r="AZ46" s="46"/>
      <c r="BA46" s="176" t="str">
        <f>+IF(COUNT(BA16:BA45)&lt;3,"N/A",IF(SUM(BA16:BA45)="","",RSQ(BA16:BA45,BB16:BB45)))</f>
        <v>N/A</v>
      </c>
      <c r="BB46" s="46"/>
      <c r="BC46" s="179" t="str">
        <f>+IF($L46="","",$L46)</f>
        <v/>
      </c>
      <c r="BD46" s="46"/>
      <c r="BE46" s="176" t="str">
        <f>+IF(COUNT(BE16:BE45)&lt;3,"N/A",IF(SUM(BE16:BE45)="","",RSQ(BE16:BE45,BF16:BF45)))</f>
        <v>N/A</v>
      </c>
      <c r="BF46" s="46"/>
      <c r="BG46" s="46"/>
      <c r="BH46" s="53"/>
    </row>
    <row r="47" spans="1:157" s="55" customFormat="1" ht="66" customHeight="1" thickTop="1" x14ac:dyDescent="0.4">
      <c r="C47" s="64" t="s">
        <v>50</v>
      </c>
      <c r="D47" s="62" t="s">
        <v>0</v>
      </c>
      <c r="E47" s="25" t="s">
        <v>28</v>
      </c>
      <c r="F47" s="25" t="s">
        <v>11</v>
      </c>
      <c r="G47" s="534" t="s">
        <v>1</v>
      </c>
      <c r="H47" s="535"/>
      <c r="I47" s="535"/>
      <c r="J47" s="535"/>
      <c r="K47" s="535"/>
      <c r="L47" s="59" t="str">
        <f>+IF(K9="x","Rice 1, 2, or 3","QA Proctor 1, 2, or 3")</f>
        <v>QA Proctor 1, 2, or 3</v>
      </c>
      <c r="M47" s="110" t="str">
        <f t="shared" ref="M47:Q47" si="43">+M15</f>
        <v>Elevation</v>
      </c>
      <c r="N47" s="116" t="str">
        <f t="shared" si="43"/>
        <v>Thick</v>
      </c>
      <c r="O47" s="116" t="str">
        <f t="shared" si="43"/>
        <v>Grade (see below)</v>
      </c>
      <c r="P47" s="26" t="str">
        <f t="shared" si="43"/>
        <v>Probe Depth</v>
      </c>
      <c r="Q47" s="116" t="str">
        <f t="shared" si="43"/>
        <v>Soil Density Count</v>
      </c>
      <c r="R47" s="105" t="str">
        <f>+IF(K9="X","Syst 2 count","Soil Moist Den Count")</f>
        <v>Soil Moist Den Count</v>
      </c>
      <c r="S47" s="110" t="str">
        <f>+S15</f>
        <v>Wet Density lbs/cu.ft.</v>
      </c>
      <c r="T47" s="106" t="str">
        <f>+(IF($K$9="x","HMA Calculated Densities",""))</f>
        <v/>
      </c>
      <c r="U47" s="117" t="str">
        <f>+IF($K$9="x","","Moisture PCF")</f>
        <v>Moisture PCF</v>
      </c>
      <c r="V47" s="79" t="str">
        <f>+V15</f>
        <v>In Place             Dry Density lbs/cu. ft.</v>
      </c>
      <c r="W47" s="110" t="str">
        <f>+W15</f>
        <v>Moisture %</v>
      </c>
      <c r="X47" s="104" t="str">
        <f>+X15</f>
        <v>Relative Compaction        (%)</v>
      </c>
      <c r="Y47" s="27" t="str">
        <f>+Y15</f>
        <v>Specified Relative Compaction (min. %)</v>
      </c>
      <c r="Z47" s="118" t="str">
        <f>+Z15</f>
        <v>Pass/Fail</v>
      </c>
      <c r="AA47" s="164"/>
      <c r="AB47" s="165"/>
      <c r="AC47" s="24" t="s">
        <v>111</v>
      </c>
      <c r="AD47" s="102"/>
      <c r="AE47" s="250" t="s">
        <v>116</v>
      </c>
      <c r="AF47" s="268">
        <v>1</v>
      </c>
      <c r="AG47" s="268">
        <v>2</v>
      </c>
      <c r="AH47" s="269">
        <v>3</v>
      </c>
      <c r="AI47" s="156"/>
      <c r="AK47" s="180"/>
      <c r="AN47" s="46"/>
      <c r="AO47" s="181" t="s">
        <v>74</v>
      </c>
      <c r="AP47" s="182"/>
      <c r="AQ47" s="182"/>
      <c r="AR47" s="46"/>
      <c r="AS47" s="183" t="s">
        <v>75</v>
      </c>
      <c r="AT47" s="184"/>
      <c r="AU47" s="184"/>
      <c r="AV47" s="184"/>
      <c r="AW47" s="185" t="s">
        <v>76</v>
      </c>
      <c r="AX47" s="46"/>
      <c r="AY47" s="46"/>
      <c r="AZ47" s="46"/>
      <c r="BA47" s="186" t="s">
        <v>77</v>
      </c>
      <c r="BB47" s="46" t="str">
        <f>+IF(P47=10,+S47,"")</f>
        <v/>
      </c>
      <c r="BC47" s="46"/>
      <c r="BD47" s="46"/>
      <c r="BE47" s="186" t="s">
        <v>78</v>
      </c>
      <c r="BF47" s="46"/>
      <c r="BG47" s="46"/>
      <c r="BH47" s="47"/>
    </row>
    <row r="48" spans="1:157" s="50" customFormat="1" ht="24" customHeight="1" x14ac:dyDescent="0.4">
      <c r="C48" s="131">
        <v>1</v>
      </c>
      <c r="D48" s="446"/>
      <c r="E48" s="453">
        <v>42361</v>
      </c>
      <c r="F48" s="447">
        <v>502</v>
      </c>
      <c r="G48" s="513" t="s">
        <v>180</v>
      </c>
      <c r="H48" s="514"/>
      <c r="I48" s="514"/>
      <c r="J48" s="514"/>
      <c r="K48" s="515"/>
      <c r="L48" s="450">
        <v>1</v>
      </c>
      <c r="M48" s="450">
        <v>100</v>
      </c>
      <c r="N48" s="450">
        <v>8</v>
      </c>
      <c r="O48" s="450" t="s">
        <v>173</v>
      </c>
      <c r="P48" s="449">
        <v>8</v>
      </c>
      <c r="Q48" s="451">
        <v>913</v>
      </c>
      <c r="R48" s="452">
        <v>125</v>
      </c>
      <c r="S48" s="448">
        <v>141.9</v>
      </c>
      <c r="T48" s="344" t="str">
        <f>IF(E48="","",IF($K$8="X","",+'QA thin lift'!I28))</f>
        <v/>
      </c>
      <c r="U48" s="455">
        <v>7.2</v>
      </c>
      <c r="V48" s="125">
        <f>+IF($K$9="x","",IF(S48=0,"",S48-U48))</f>
        <v>134.70000000000002</v>
      </c>
      <c r="W48" s="126">
        <f t="shared" ref="W48:W57" si="44">+IF(V48="","",U48/V48)</f>
        <v>5.3452115812917589E-2</v>
      </c>
      <c r="X48" s="127">
        <f>IF(OR(L48="",R48="",Q48=""),"",ROUNDUP(IF(L48="","",IF($K$8="x",(IF(L48=1,V48/$T$13*100,IF(L48=2,V48/$W$13*100,IF(L48=3,V48/$Z$13*100)))),IF($K$9="x",(IF(L48=1,S48/$T$12*100,IF(L48=2,S48/$W$12*100,IF(L48=3,S48/$Z$12*100,""))))))),0))</f>
        <v>108</v>
      </c>
      <c r="Y48" s="128">
        <f t="shared" ref="Y48:Y57" si="45">+IF(O48="","",IF(OR(O48="SG",O48="TP",O48="RG",O48="OG",O48="EMB"),90,IF(OR(O48="D",O48="FG",O48="FTG"),95,"")))</f>
        <v>95</v>
      </c>
      <c r="Z48" s="129" t="str">
        <f t="shared" ref="Z48:Z56" si="46">IF(OR(E48="",S48="",R48="",Q48=""),"",IF(AND($K$9="x",Y48&lt;95),"ERR grade",IF(L48="","",+IF(AND($K$8="",$K$9=""),"",IF(X48&lt;Y48,"FAIL","PASS")))))</f>
        <v>PASS</v>
      </c>
      <c r="AA48" s="164"/>
      <c r="AB48" s="240">
        <v>139.9</v>
      </c>
      <c r="AC48" s="240">
        <f t="shared" ref="AC48:AC57" si="47">+V48-AB48</f>
        <v>-5.1999999999999886</v>
      </c>
      <c r="AD48" s="165"/>
      <c r="AF48" s="156">
        <f>+IF(L48=1,S48,"")</f>
        <v>141.9</v>
      </c>
      <c r="AG48" s="156" t="str">
        <f>+IF(L48=2,S48,"")</f>
        <v/>
      </c>
      <c r="AH48" s="156" t="str">
        <f>+IF(L48=3,S48,"")</f>
        <v/>
      </c>
      <c r="AI48" s="156"/>
      <c r="AK48" s="187"/>
      <c r="AM48" s="520" t="s">
        <v>65</v>
      </c>
      <c r="AN48" s="46" t="str">
        <f>+IF(P48=4,4,"")</f>
        <v/>
      </c>
      <c r="AO48" s="182"/>
      <c r="AP48" s="182"/>
      <c r="AQ48" s="520" t="s">
        <v>65</v>
      </c>
      <c r="AR48" s="46"/>
      <c r="AS48" s="188" t="s">
        <v>72</v>
      </c>
      <c r="AT48" s="184"/>
      <c r="AU48" s="184"/>
      <c r="AV48" s="184"/>
      <c r="AW48" s="184"/>
      <c r="AX48" s="46"/>
      <c r="AY48" s="520" t="s">
        <v>65</v>
      </c>
      <c r="AZ48" s="46"/>
      <c r="BA48" s="46" t="str">
        <f>+IF(P48=10,+Q48,"")</f>
        <v/>
      </c>
      <c r="BB48" s="46" t="str">
        <f>+IF(P48=10,+S48,"")</f>
        <v/>
      </c>
      <c r="BC48" s="520" t="s">
        <v>65</v>
      </c>
      <c r="BD48" s="46"/>
      <c r="BE48" s="46"/>
      <c r="BF48" s="46"/>
      <c r="BG48" s="46"/>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row>
    <row r="49" spans="1:105" s="50" customFormat="1" ht="24" customHeight="1" x14ac:dyDescent="0.25">
      <c r="C49" s="131">
        <f>1+C48</f>
        <v>2</v>
      </c>
      <c r="D49" s="446"/>
      <c r="E49" s="453">
        <v>42361</v>
      </c>
      <c r="F49" s="447">
        <v>502</v>
      </c>
      <c r="G49" s="513" t="s">
        <v>180</v>
      </c>
      <c r="H49" s="514"/>
      <c r="I49" s="514"/>
      <c r="J49" s="514"/>
      <c r="K49" s="515"/>
      <c r="L49" s="450">
        <v>1</v>
      </c>
      <c r="M49" s="450">
        <v>100</v>
      </c>
      <c r="N49" s="450">
        <v>8</v>
      </c>
      <c r="O49" s="450" t="s">
        <v>173</v>
      </c>
      <c r="P49" s="449">
        <v>8</v>
      </c>
      <c r="Q49" s="451">
        <v>896</v>
      </c>
      <c r="R49" s="452">
        <v>133</v>
      </c>
      <c r="S49" s="448">
        <v>142.6</v>
      </c>
      <c r="T49" s="344" t="str">
        <f>IF(E49="","",IF($K$8="X","",+'QA thin lift'!I29))</f>
        <v/>
      </c>
      <c r="U49" s="455">
        <v>10.199999999999999</v>
      </c>
      <c r="V49" s="125">
        <f t="shared" ref="V49:V57" si="48">+IF($K$9="x","",IF(S49=0,"",S49-U49))</f>
        <v>132.4</v>
      </c>
      <c r="W49" s="126">
        <f t="shared" si="44"/>
        <v>7.7039274924471296E-2</v>
      </c>
      <c r="X49" s="127">
        <f t="shared" ref="X49:X56" si="49">IF(OR(L49="",R49="",Q49=""),"",ROUNDUP(IF(L49="","",IF($K$8="x",(IF(L49=1,V49/$T$13*100,IF(L49=2,V49/$W$13*100,IF(L49=3,V49/$Z$13*100)))),IF($K$9="x",(IF(L49=1,S49/$T$12*100,IF(L49=2,S49/$W$12*100,IF(L49=3,S49/$Z$12*100,""))))))),0))</f>
        <v>106</v>
      </c>
      <c r="Y49" s="128">
        <f t="shared" si="45"/>
        <v>95</v>
      </c>
      <c r="Z49" s="129" t="str">
        <f t="shared" si="46"/>
        <v>PASS</v>
      </c>
      <c r="AA49" s="164"/>
      <c r="AB49" s="240">
        <v>130.30000000000001</v>
      </c>
      <c r="AC49" s="240">
        <f t="shared" si="47"/>
        <v>2.0999999999999943</v>
      </c>
      <c r="AD49" s="165"/>
      <c r="AF49" s="156">
        <f t="shared" ref="AF49:AF57" si="50">+IF(L49=1,S49,"")</f>
        <v>142.6</v>
      </c>
      <c r="AG49" s="156" t="str">
        <f t="shared" ref="AG49:AG57" si="51">+IF(L49=2,S49,"")</f>
        <v/>
      </c>
      <c r="AH49" s="156" t="str">
        <f t="shared" ref="AH49:AH57" si="52">+IF(L49=3,S49,"")</f>
        <v/>
      </c>
      <c r="AI49" s="156"/>
      <c r="AK49" s="187"/>
      <c r="AM49" s="520"/>
      <c r="AN49" s="470" t="s">
        <v>51</v>
      </c>
      <c r="AO49" s="470"/>
      <c r="AP49" s="470"/>
      <c r="AQ49" s="520"/>
      <c r="AR49" s="470" t="s">
        <v>52</v>
      </c>
      <c r="AS49" s="470"/>
      <c r="AT49" s="470"/>
      <c r="AU49" s="144"/>
      <c r="AV49" s="470" t="s">
        <v>53</v>
      </c>
      <c r="AW49" s="470"/>
      <c r="AX49" s="470"/>
      <c r="AY49" s="520"/>
      <c r="AZ49" s="470" t="s">
        <v>54</v>
      </c>
      <c r="BA49" s="470"/>
      <c r="BB49" s="470"/>
      <c r="BC49" s="520"/>
      <c r="BD49" s="470" t="s">
        <v>55</v>
      </c>
      <c r="BE49" s="470"/>
      <c r="BF49" s="470"/>
      <c r="BG49" s="46"/>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row>
    <row r="50" spans="1:105" s="169" customFormat="1" ht="24" customHeight="1" thickBot="1" x14ac:dyDescent="0.3">
      <c r="A50" s="55"/>
      <c r="B50" s="55"/>
      <c r="C50" s="131">
        <f t="shared" ref="C50:C57" si="53">1+C49</f>
        <v>3</v>
      </c>
      <c r="D50" s="446"/>
      <c r="E50" s="453">
        <v>42361</v>
      </c>
      <c r="F50" s="447">
        <v>502</v>
      </c>
      <c r="G50" s="513" t="s">
        <v>181</v>
      </c>
      <c r="H50" s="514"/>
      <c r="I50" s="514"/>
      <c r="J50" s="514"/>
      <c r="K50" s="515"/>
      <c r="L50" s="450">
        <v>1</v>
      </c>
      <c r="M50" s="450">
        <v>98</v>
      </c>
      <c r="N50" s="450">
        <v>8</v>
      </c>
      <c r="O50" s="450" t="s">
        <v>173</v>
      </c>
      <c r="P50" s="449">
        <v>8</v>
      </c>
      <c r="Q50" s="451">
        <v>930</v>
      </c>
      <c r="R50" s="452">
        <v>132</v>
      </c>
      <c r="S50" s="454">
        <v>141.19999999999999</v>
      </c>
      <c r="T50" s="344" t="str">
        <f>IF(E50="","",IF($K$8="X","",+'QA thin lift'!I30))</f>
        <v/>
      </c>
      <c r="U50" s="455">
        <v>10.199999999999999</v>
      </c>
      <c r="V50" s="125">
        <f t="shared" si="48"/>
        <v>131</v>
      </c>
      <c r="W50" s="126">
        <f t="shared" si="44"/>
        <v>7.7862595419847316E-2</v>
      </c>
      <c r="X50" s="127">
        <f t="shared" si="49"/>
        <v>105</v>
      </c>
      <c r="Y50" s="128">
        <f t="shared" si="45"/>
        <v>95</v>
      </c>
      <c r="Z50" s="129" t="str">
        <f t="shared" si="46"/>
        <v>PASS</v>
      </c>
      <c r="AA50" s="164"/>
      <c r="AB50" s="240">
        <v>123.5</v>
      </c>
      <c r="AC50" s="240">
        <f t="shared" si="47"/>
        <v>7.5</v>
      </c>
      <c r="AD50" s="165"/>
      <c r="AF50" s="156">
        <f t="shared" si="50"/>
        <v>141.19999999999999</v>
      </c>
      <c r="AG50" s="156" t="str">
        <f t="shared" si="51"/>
        <v/>
      </c>
      <c r="AH50" s="156" t="str">
        <f t="shared" si="52"/>
        <v/>
      </c>
      <c r="AI50" s="156"/>
      <c r="AK50" s="189"/>
      <c r="AM50" s="521"/>
      <c r="AN50" s="152" t="s">
        <v>26</v>
      </c>
      <c r="AO50" s="154" t="str">
        <f>+AO15</f>
        <v>count ratio</v>
      </c>
      <c r="AP50" s="152" t="s">
        <v>27</v>
      </c>
      <c r="AQ50" s="521"/>
      <c r="AR50" s="152" t="s">
        <v>26</v>
      </c>
      <c r="AS50" s="154" t="str">
        <f>+AO50</f>
        <v>count ratio</v>
      </c>
      <c r="AT50" s="152" t="s">
        <v>27</v>
      </c>
      <c r="AU50" s="149" t="s">
        <v>65</v>
      </c>
      <c r="AV50" s="152" t="s">
        <v>26</v>
      </c>
      <c r="AW50" s="154" t="str">
        <f>+AS50</f>
        <v>count ratio</v>
      </c>
      <c r="AX50" s="152" t="s">
        <v>27</v>
      </c>
      <c r="AY50" s="521"/>
      <c r="AZ50" s="152" t="s">
        <v>26</v>
      </c>
      <c r="BA50" s="154" t="str">
        <f>+AW50</f>
        <v>count ratio</v>
      </c>
      <c r="BB50" s="152" t="s">
        <v>27</v>
      </c>
      <c r="BC50" s="521"/>
      <c r="BD50" s="152" t="s">
        <v>26</v>
      </c>
      <c r="BE50" s="154" t="str">
        <f>+BA50</f>
        <v>count ratio</v>
      </c>
      <c r="BF50" s="152" t="s">
        <v>27</v>
      </c>
      <c r="BG50" s="46"/>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row>
    <row r="51" spans="1:105" s="50" customFormat="1" ht="24" customHeight="1" thickBot="1" x14ac:dyDescent="0.3">
      <c r="C51" s="131">
        <f t="shared" si="53"/>
        <v>4</v>
      </c>
      <c r="D51" s="446"/>
      <c r="E51" s="453">
        <v>42361</v>
      </c>
      <c r="F51" s="447">
        <v>502</v>
      </c>
      <c r="G51" s="513" t="s">
        <v>181</v>
      </c>
      <c r="H51" s="514"/>
      <c r="I51" s="514"/>
      <c r="J51" s="514"/>
      <c r="K51" s="515"/>
      <c r="L51" s="450">
        <v>1</v>
      </c>
      <c r="M51" s="450">
        <v>98</v>
      </c>
      <c r="N51" s="450">
        <v>8</v>
      </c>
      <c r="O51" s="450" t="s">
        <v>173</v>
      </c>
      <c r="P51" s="449">
        <v>8</v>
      </c>
      <c r="Q51" s="451">
        <v>942</v>
      </c>
      <c r="R51" s="452">
        <v>133</v>
      </c>
      <c r="S51" s="448">
        <v>140.69999999999999</v>
      </c>
      <c r="T51" s="344" t="str">
        <f>IF(E51="","",IF($K$8="X","",+'QA thin lift'!I31))</f>
        <v/>
      </c>
      <c r="U51" s="455">
        <v>10.199999999999999</v>
      </c>
      <c r="V51" s="125">
        <f t="shared" si="48"/>
        <v>130.5</v>
      </c>
      <c r="W51" s="126">
        <f t="shared" si="44"/>
        <v>7.8160919540229884E-2</v>
      </c>
      <c r="X51" s="127">
        <f t="shared" si="49"/>
        <v>105</v>
      </c>
      <c r="Y51" s="128">
        <f t="shared" si="45"/>
        <v>95</v>
      </c>
      <c r="Z51" s="129" t="str">
        <f t="shared" si="46"/>
        <v>PASS</v>
      </c>
      <c r="AA51" s="164"/>
      <c r="AB51" s="240">
        <v>131.5</v>
      </c>
      <c r="AC51" s="240">
        <f t="shared" si="47"/>
        <v>-1</v>
      </c>
      <c r="AD51" s="165"/>
      <c r="AF51" s="156">
        <f t="shared" si="50"/>
        <v>140.69999999999999</v>
      </c>
      <c r="AG51" s="156" t="str">
        <f t="shared" si="51"/>
        <v/>
      </c>
      <c r="AH51" s="156" t="str">
        <f t="shared" si="52"/>
        <v/>
      </c>
      <c r="AI51" s="156"/>
      <c r="AJ51" s="190"/>
      <c r="AK51" s="191" t="str">
        <f>+E47</f>
        <v>Date</v>
      </c>
      <c r="AL51" s="159" t="str">
        <f>+C47</f>
        <v>Number</v>
      </c>
      <c r="AM51" s="86"/>
      <c r="AN51" s="163" t="str">
        <f>+IF(P$48=4,4,"")</f>
        <v/>
      </c>
      <c r="AO51" s="192"/>
      <c r="AP51" s="162"/>
      <c r="AQ51" s="162"/>
      <c r="AR51" s="163"/>
      <c r="AS51" s="193"/>
      <c r="AT51" s="163"/>
      <c r="AU51" s="163"/>
      <c r="AV51" s="163"/>
      <c r="AW51" s="193"/>
      <c r="AX51" s="163"/>
      <c r="AY51" s="163"/>
      <c r="AZ51" s="163"/>
      <c r="BA51" s="193" t="str">
        <f>+IF(P51=10,+Q51,"")</f>
        <v/>
      </c>
      <c r="BB51" s="163" t="str">
        <f>+IF(P51=10,+S51,"")</f>
        <v/>
      </c>
      <c r="BC51" s="163"/>
      <c r="BD51" s="163"/>
      <c r="BE51" s="193"/>
      <c r="BF51" s="163"/>
      <c r="BG51" s="46"/>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row>
    <row r="52" spans="1:105" s="50" customFormat="1" ht="24" customHeight="1" thickTop="1" thickBot="1" x14ac:dyDescent="0.3">
      <c r="C52" s="131">
        <f t="shared" si="53"/>
        <v>5</v>
      </c>
      <c r="D52" s="112"/>
      <c r="E52" s="417"/>
      <c r="F52" s="411"/>
      <c r="G52" s="513"/>
      <c r="H52" s="514"/>
      <c r="I52" s="514"/>
      <c r="J52" s="514"/>
      <c r="K52" s="515"/>
      <c r="L52" s="414"/>
      <c r="M52" s="414"/>
      <c r="N52" s="414"/>
      <c r="O52" s="414"/>
      <c r="P52" s="413"/>
      <c r="Q52" s="415"/>
      <c r="R52" s="416"/>
      <c r="S52" s="412"/>
      <c r="T52" s="344" t="str">
        <f>IF(E52="","",IF($K$8="X","",+'QA thin lift'!I32))</f>
        <v/>
      </c>
      <c r="U52" s="410"/>
      <c r="V52" s="125" t="str">
        <f t="shared" si="48"/>
        <v/>
      </c>
      <c r="W52" s="126" t="str">
        <f t="shared" si="44"/>
        <v/>
      </c>
      <c r="X52" s="127" t="str">
        <f t="shared" si="49"/>
        <v/>
      </c>
      <c r="Y52" s="128" t="str">
        <f t="shared" si="45"/>
        <v/>
      </c>
      <c r="Z52" s="129" t="str">
        <f t="shared" si="46"/>
        <v/>
      </c>
      <c r="AA52" s="164"/>
      <c r="AB52" s="240">
        <v>126.1</v>
      </c>
      <c r="AC52" s="240" t="e">
        <f t="shared" si="47"/>
        <v>#VALUE!</v>
      </c>
      <c r="AD52" s="165"/>
      <c r="AF52" s="156" t="str">
        <f t="shared" si="50"/>
        <v/>
      </c>
      <c r="AG52" s="156" t="str">
        <f t="shared" si="51"/>
        <v/>
      </c>
      <c r="AH52" s="156" t="str">
        <f t="shared" si="52"/>
        <v/>
      </c>
      <c r="AI52" s="156" t="str">
        <f>+IF(L52=1,X52,"")</f>
        <v/>
      </c>
      <c r="AJ52" s="194">
        <v>1</v>
      </c>
      <c r="AK52" s="158">
        <f>+IF(E48="","",E48)</f>
        <v>42361</v>
      </c>
      <c r="AL52" s="159">
        <f>+C48</f>
        <v>1</v>
      </c>
      <c r="AM52" s="85">
        <f>+IF($L48="","",IF($L48=1,1,""))</f>
        <v>1</v>
      </c>
      <c r="AN52" s="160" t="str">
        <f>+IF(AND(AM52=1,P48=4),4,"")</f>
        <v/>
      </c>
      <c r="AO52" s="369" t="str">
        <f t="shared" ref="AO52:AO61" si="54">+IF(AK52="","",IF(AND(AM52=1,AN52=4),+Q48/VLOOKUP($AK52,$T$69:$U$73,2),""))</f>
        <v/>
      </c>
      <c r="AP52" s="162" t="str">
        <f>+IF(AND(AM52=1,P52=4),+S48,"")</f>
        <v/>
      </c>
      <c r="AQ52" s="85">
        <f>+IF($L48="","",IF($L48=1,1,""))</f>
        <v>1</v>
      </c>
      <c r="AR52" s="160" t="str">
        <f>+IF(AND(AQ52=1,P48=6),6,"")</f>
        <v/>
      </c>
      <c r="AS52" s="197" t="str">
        <f t="shared" ref="AS52:AS61" si="55">+IF(AK52="","",IF(AND(AQ52=1,P48=6),+Q48/VLOOKUP($AK52,$T$69:$U$73,2),""))</f>
        <v/>
      </c>
      <c r="AT52" s="160" t="str">
        <f>+IF(U48="","",IF(AND(AQ52=1,P48=6),+S48,""))</f>
        <v/>
      </c>
      <c r="AU52" s="85">
        <f>+IF($L48="","",IF($L48=1,1,""))</f>
        <v>1</v>
      </c>
      <c r="AV52" s="160">
        <f>+IF(AND(AU52=1,P48=8),8,"")</f>
        <v>8</v>
      </c>
      <c r="AW52" s="197">
        <f t="shared" ref="AW52:AW61" si="56">+IF(AK52="","",IF(AND(AU52=1,P48=8),+Q48/VLOOKUP($AK52,$T$69:$U$73,2),""))</f>
        <v>0.76083333333333336</v>
      </c>
      <c r="AX52" s="160">
        <f>+IF(AND(AU52=1,P48=8),+S48,"")</f>
        <v>141.9</v>
      </c>
      <c r="AY52" s="85">
        <f>+IF($L48="","",IF($L48=1,1,""))</f>
        <v>1</v>
      </c>
      <c r="AZ52" s="160" t="str">
        <f>+IF(AND(AY52=1,P48=10),10,"")</f>
        <v/>
      </c>
      <c r="BA52" s="163" t="str">
        <f t="shared" ref="BA52:BA61" si="57">+IF(AK52="","",IF(AND(AY52=1,P48=10),+Q48/VLOOKUP($AK52,$T$69:$U$73,2),""))</f>
        <v/>
      </c>
      <c r="BB52" s="160" t="str">
        <f>+IF(AND(AY52=1,P48=10),+S48,"")</f>
        <v/>
      </c>
      <c r="BC52" s="85">
        <f>+IF($L48="","",IF($L48=1,1,""))</f>
        <v>1</v>
      </c>
      <c r="BD52" s="160" t="str">
        <f>+IF(AND(BC52=1,P48=12),12,"")</f>
        <v/>
      </c>
      <c r="BE52" s="163" t="str">
        <f t="shared" ref="BE52:BE61" si="58">+IF(AK52="","",IF(AND(BC52=1,P48=12),+Q48/VLOOKUP($AK52,$T$69:$U$73,2),""))</f>
        <v/>
      </c>
      <c r="BF52" s="160" t="str">
        <f>+IF(AND(BC52=1,P48=12),+S48,"")</f>
        <v/>
      </c>
      <c r="BG52" s="46"/>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row>
    <row r="53" spans="1:105" s="167" customFormat="1" ht="24" customHeight="1" thickTop="1" thickBot="1" x14ac:dyDescent="0.3">
      <c r="A53" s="55"/>
      <c r="B53" s="55"/>
      <c r="C53" s="131">
        <f t="shared" si="53"/>
        <v>6</v>
      </c>
      <c r="D53" s="112"/>
      <c r="E53" s="417"/>
      <c r="F53" s="411"/>
      <c r="G53" s="513"/>
      <c r="H53" s="514"/>
      <c r="I53" s="514"/>
      <c r="J53" s="514"/>
      <c r="K53" s="515"/>
      <c r="L53" s="414"/>
      <c r="M53" s="414"/>
      <c r="N53" s="414"/>
      <c r="O53" s="414"/>
      <c r="P53" s="413"/>
      <c r="Q53" s="415"/>
      <c r="R53" s="416"/>
      <c r="S53" s="412"/>
      <c r="T53" s="344" t="str">
        <f>IF(E53="","",IF($K$8="X","",+'QA thin lift'!I33))</f>
        <v/>
      </c>
      <c r="U53" s="108"/>
      <c r="V53" s="125" t="str">
        <f t="shared" si="48"/>
        <v/>
      </c>
      <c r="W53" s="126" t="str">
        <f t="shared" si="44"/>
        <v/>
      </c>
      <c r="X53" s="127" t="str">
        <f t="shared" si="49"/>
        <v/>
      </c>
      <c r="Y53" s="128" t="str">
        <f t="shared" si="45"/>
        <v/>
      </c>
      <c r="Z53" s="129" t="str">
        <f t="shared" si="46"/>
        <v/>
      </c>
      <c r="AA53" s="164"/>
      <c r="AB53" s="240"/>
      <c r="AC53" s="240" t="e">
        <f t="shared" si="47"/>
        <v>#VALUE!</v>
      </c>
      <c r="AD53" s="165"/>
      <c r="AE53" s="165"/>
      <c r="AF53" s="156" t="str">
        <f t="shared" si="50"/>
        <v/>
      </c>
      <c r="AG53" s="156" t="str">
        <f t="shared" si="51"/>
        <v/>
      </c>
      <c r="AH53" s="156" t="str">
        <f t="shared" si="52"/>
        <v/>
      </c>
      <c r="AI53" s="156" t="str">
        <f>+IF(L53=1,X53,"")</f>
        <v/>
      </c>
      <c r="AJ53" s="194">
        <f>1+AJ52</f>
        <v>2</v>
      </c>
      <c r="AK53" s="158">
        <f>+IF(E49="","",E49)</f>
        <v>42361</v>
      </c>
      <c r="AL53" s="159">
        <f>+C49</f>
        <v>2</v>
      </c>
      <c r="AM53" s="166">
        <f t="shared" ref="AM53:AM61" si="59">+IF($L49="","",IF($L49=1,1,""))</f>
        <v>1</v>
      </c>
      <c r="AN53" s="163" t="str">
        <f>+IF(AND(AM53=1,P49=4),4,"")</f>
        <v/>
      </c>
      <c r="AO53" s="369" t="str">
        <f t="shared" si="54"/>
        <v/>
      </c>
      <c r="AP53" s="162" t="str">
        <f t="shared" ref="AP53:AP56" si="60">+IF(AND(AM53=1,P53=4),+S49,"")</f>
        <v/>
      </c>
      <c r="AQ53" s="166">
        <f t="shared" ref="AQ53:AQ61" si="61">+IF($L49="","",IF($L49=1,1,""))</f>
        <v>1</v>
      </c>
      <c r="AR53" s="163" t="str">
        <f>+IF(AND(AQ53=1,P49=6),6,"")</f>
        <v/>
      </c>
      <c r="AS53" s="197" t="str">
        <f t="shared" si="55"/>
        <v/>
      </c>
      <c r="AT53" s="160" t="str">
        <f t="shared" ref="AT53:AT61" si="62">+IF(U49="","",IF(AND(AQ53=1,P49=6),+S49,""))</f>
        <v/>
      </c>
      <c r="AU53" s="166">
        <f t="shared" ref="AU53:AU61" si="63">+IF($L49="","",IF($L49=1,1,""))</f>
        <v>1</v>
      </c>
      <c r="AV53" s="163">
        <f>+IF(AND(AU53=1,P49=8),8,"")</f>
        <v>8</v>
      </c>
      <c r="AW53" s="197">
        <f t="shared" si="56"/>
        <v>0.7466666666666667</v>
      </c>
      <c r="AX53" s="160">
        <f t="shared" ref="AX53:AX61" si="64">+IF(AND(AU53=1,P49=8),+S49,"")</f>
        <v>142.6</v>
      </c>
      <c r="AY53" s="166">
        <f t="shared" ref="AY53:AY61" si="65">+IF($L49="","",IF($L49=1,1,""))</f>
        <v>1</v>
      </c>
      <c r="AZ53" s="163" t="str">
        <f>+IF(AND(AY53=1,P49=10),10,"")</f>
        <v/>
      </c>
      <c r="BA53" s="163" t="str">
        <f t="shared" si="57"/>
        <v/>
      </c>
      <c r="BB53" s="160" t="str">
        <f t="shared" ref="BB53:BB61" si="66">+IF(AND(AY53=1,P49=10),+S49,"")</f>
        <v/>
      </c>
      <c r="BC53" s="166">
        <f t="shared" ref="BC53:BC61" si="67">+IF($L49="","",IF($L49=1,1,""))</f>
        <v>1</v>
      </c>
      <c r="BD53" s="163" t="str">
        <f>+IF(AND(BC53=1,P49=12),12,"")</f>
        <v/>
      </c>
      <c r="BE53" s="163" t="str">
        <f t="shared" si="58"/>
        <v/>
      </c>
      <c r="BF53" s="160" t="str">
        <f t="shared" ref="BF53:BF61" si="68">+IF(AND(BC53=1,P49=12),+S49,"")</f>
        <v/>
      </c>
      <c r="BG53" s="46"/>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row>
    <row r="54" spans="1:105" s="50" customFormat="1" ht="24" customHeight="1" thickTop="1" thickBot="1" x14ac:dyDescent="0.3">
      <c r="C54" s="131">
        <f t="shared" si="53"/>
        <v>7</v>
      </c>
      <c r="D54" s="112"/>
      <c r="E54" s="417"/>
      <c r="F54" s="411"/>
      <c r="G54" s="513"/>
      <c r="H54" s="514"/>
      <c r="I54" s="514"/>
      <c r="J54" s="514"/>
      <c r="K54" s="515"/>
      <c r="L54" s="414"/>
      <c r="M54" s="414"/>
      <c r="N54" s="414"/>
      <c r="O54" s="414"/>
      <c r="P54" s="413"/>
      <c r="Q54" s="415"/>
      <c r="R54" s="416"/>
      <c r="S54" s="412"/>
      <c r="T54" s="344" t="str">
        <f>IF(E54="","",IF($K$8="X","",+'QA thin lift'!I34))</f>
        <v/>
      </c>
      <c r="U54" s="108"/>
      <c r="V54" s="125" t="str">
        <f t="shared" si="48"/>
        <v/>
      </c>
      <c r="W54" s="126" t="str">
        <f t="shared" si="44"/>
        <v/>
      </c>
      <c r="X54" s="127" t="str">
        <f t="shared" si="49"/>
        <v/>
      </c>
      <c r="Y54" s="128" t="str">
        <f t="shared" si="45"/>
        <v/>
      </c>
      <c r="Z54" s="129" t="str">
        <f t="shared" si="46"/>
        <v/>
      </c>
      <c r="AA54" s="164"/>
      <c r="AB54" s="240"/>
      <c r="AC54" s="240" t="e">
        <f t="shared" si="47"/>
        <v>#VALUE!</v>
      </c>
      <c r="AD54" s="165"/>
      <c r="AE54" s="165"/>
      <c r="AF54" s="156" t="str">
        <f t="shared" si="50"/>
        <v/>
      </c>
      <c r="AG54" s="156" t="str">
        <f t="shared" si="51"/>
        <v/>
      </c>
      <c r="AH54" s="156" t="str">
        <f t="shared" si="52"/>
        <v/>
      </c>
      <c r="AI54" s="156" t="str">
        <f>+IF(L54=1,X54,"")</f>
        <v/>
      </c>
      <c r="AJ54" s="194">
        <f t="shared" ref="AJ54:AJ61" si="69">1+AJ53</f>
        <v>3</v>
      </c>
      <c r="AK54" s="158">
        <f>+IF(E50="","",E50)</f>
        <v>42361</v>
      </c>
      <c r="AL54" s="159">
        <f>+C50</f>
        <v>3</v>
      </c>
      <c r="AM54" s="166">
        <f t="shared" si="59"/>
        <v>1</v>
      </c>
      <c r="AN54" s="163" t="str">
        <f>+IF(AND(AM54=1,P50=4),4,"")</f>
        <v/>
      </c>
      <c r="AO54" s="369" t="str">
        <f t="shared" si="54"/>
        <v/>
      </c>
      <c r="AP54" s="162" t="str">
        <f t="shared" si="60"/>
        <v/>
      </c>
      <c r="AQ54" s="166">
        <f t="shared" si="61"/>
        <v>1</v>
      </c>
      <c r="AR54" s="163" t="str">
        <f>+IF(AND(AQ54=1,P50=6),6,"")</f>
        <v/>
      </c>
      <c r="AS54" s="197" t="str">
        <f t="shared" si="55"/>
        <v/>
      </c>
      <c r="AT54" s="160" t="str">
        <f t="shared" si="62"/>
        <v/>
      </c>
      <c r="AU54" s="166">
        <f t="shared" si="63"/>
        <v>1</v>
      </c>
      <c r="AV54" s="163">
        <f>+IF(AND(AU54=1,P50=8),8,"")</f>
        <v>8</v>
      </c>
      <c r="AW54" s="197">
        <f t="shared" si="56"/>
        <v>0.77500000000000002</v>
      </c>
      <c r="AX54" s="160">
        <f t="shared" si="64"/>
        <v>141.19999999999999</v>
      </c>
      <c r="AY54" s="166">
        <f t="shared" si="65"/>
        <v>1</v>
      </c>
      <c r="AZ54" s="163" t="str">
        <f>+IF(AND(AY54=1,P50=10),10,"")</f>
        <v/>
      </c>
      <c r="BA54" s="163" t="str">
        <f t="shared" si="57"/>
        <v/>
      </c>
      <c r="BB54" s="160" t="str">
        <f t="shared" si="66"/>
        <v/>
      </c>
      <c r="BC54" s="166">
        <f t="shared" si="67"/>
        <v>1</v>
      </c>
      <c r="BD54" s="163" t="str">
        <f>+IF(AND(BC54=1,P50=12),12,"")</f>
        <v/>
      </c>
      <c r="BE54" s="163" t="str">
        <f t="shared" si="58"/>
        <v/>
      </c>
      <c r="BF54" s="160" t="str">
        <f t="shared" si="68"/>
        <v/>
      </c>
      <c r="BG54" s="46"/>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row>
    <row r="55" spans="1:105" s="50" customFormat="1" ht="24" customHeight="1" thickTop="1" thickBot="1" x14ac:dyDescent="0.3">
      <c r="C55" s="131">
        <f t="shared" si="53"/>
        <v>8</v>
      </c>
      <c r="D55" s="112"/>
      <c r="E55" s="417"/>
      <c r="F55" s="411"/>
      <c r="G55" s="513"/>
      <c r="H55" s="514"/>
      <c r="I55" s="514"/>
      <c r="J55" s="514"/>
      <c r="K55" s="515"/>
      <c r="L55" s="414"/>
      <c r="M55" s="414"/>
      <c r="N55" s="414"/>
      <c r="O55" s="414"/>
      <c r="P55" s="413"/>
      <c r="Q55" s="415"/>
      <c r="R55" s="416"/>
      <c r="S55" s="412"/>
      <c r="T55" s="344" t="str">
        <f>IF(E55="","",IF($K$8="X","",+'QA thin lift'!I35))</f>
        <v/>
      </c>
      <c r="U55" s="108"/>
      <c r="V55" s="125" t="str">
        <f t="shared" si="48"/>
        <v/>
      </c>
      <c r="W55" s="126" t="str">
        <f t="shared" si="44"/>
        <v/>
      </c>
      <c r="X55" s="127" t="str">
        <f t="shared" si="49"/>
        <v/>
      </c>
      <c r="Y55" s="128" t="str">
        <f t="shared" si="45"/>
        <v/>
      </c>
      <c r="Z55" s="129" t="str">
        <f t="shared" si="46"/>
        <v/>
      </c>
      <c r="AA55" s="164"/>
      <c r="AB55" s="240"/>
      <c r="AC55" s="240" t="e">
        <f t="shared" si="47"/>
        <v>#VALUE!</v>
      </c>
      <c r="AD55" s="165"/>
      <c r="AE55" s="165"/>
      <c r="AF55" s="156" t="str">
        <f t="shared" si="50"/>
        <v/>
      </c>
      <c r="AG55" s="156" t="str">
        <f t="shared" si="51"/>
        <v/>
      </c>
      <c r="AH55" s="156" t="str">
        <f t="shared" si="52"/>
        <v/>
      </c>
      <c r="AI55" s="156"/>
      <c r="AJ55" s="194">
        <f t="shared" si="69"/>
        <v>4</v>
      </c>
      <c r="AK55" s="158">
        <f t="shared" ref="AK55:AK61" si="70">+IF(E51="","",E51)</f>
        <v>42361</v>
      </c>
      <c r="AL55" s="159">
        <f t="shared" ref="AL55:AL61" si="71">+C51</f>
        <v>4</v>
      </c>
      <c r="AM55" s="166">
        <f t="shared" si="59"/>
        <v>1</v>
      </c>
      <c r="AN55" s="163" t="str">
        <f t="shared" ref="AN55:AN61" si="72">+IF(AND(AM55=1,P51=4),4,"")</f>
        <v/>
      </c>
      <c r="AO55" s="369" t="str">
        <f t="shared" si="54"/>
        <v/>
      </c>
      <c r="AP55" s="162" t="str">
        <f t="shared" si="60"/>
        <v/>
      </c>
      <c r="AQ55" s="166">
        <f t="shared" si="61"/>
        <v>1</v>
      </c>
      <c r="AR55" s="163" t="str">
        <f t="shared" ref="AR55:AR61" si="73">+IF(AND(AQ55=1,P51=6),6,"")</f>
        <v/>
      </c>
      <c r="AS55" s="197" t="str">
        <f t="shared" si="55"/>
        <v/>
      </c>
      <c r="AT55" s="160" t="str">
        <f t="shared" si="62"/>
        <v/>
      </c>
      <c r="AU55" s="166">
        <f t="shared" si="63"/>
        <v>1</v>
      </c>
      <c r="AV55" s="163">
        <f t="shared" ref="AV55:AV61" si="74">+IF(AND(AU55=1,P51=8),8,"")</f>
        <v>8</v>
      </c>
      <c r="AW55" s="197">
        <f t="shared" si="56"/>
        <v>0.78500000000000003</v>
      </c>
      <c r="AX55" s="160">
        <f t="shared" si="64"/>
        <v>140.69999999999999</v>
      </c>
      <c r="AY55" s="166">
        <f t="shared" si="65"/>
        <v>1</v>
      </c>
      <c r="AZ55" s="163" t="str">
        <f t="shared" ref="AZ55:AZ61" si="75">+IF(AND(AY55=1,P51=10),10,"")</f>
        <v/>
      </c>
      <c r="BA55" s="163" t="str">
        <f t="shared" si="57"/>
        <v/>
      </c>
      <c r="BB55" s="160" t="str">
        <f t="shared" si="66"/>
        <v/>
      </c>
      <c r="BC55" s="166">
        <f t="shared" si="67"/>
        <v>1</v>
      </c>
      <c r="BD55" s="163" t="str">
        <f t="shared" ref="BD55:BD61" si="76">+IF(AND(BC55=1,P51=12),12,"")</f>
        <v/>
      </c>
      <c r="BE55" s="163" t="str">
        <f t="shared" si="58"/>
        <v/>
      </c>
      <c r="BF55" s="160" t="str">
        <f t="shared" si="68"/>
        <v/>
      </c>
      <c r="BG55" s="46"/>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row>
    <row r="56" spans="1:105" s="50" customFormat="1" ht="24" customHeight="1" thickTop="1" thickBot="1" x14ac:dyDescent="0.3">
      <c r="C56" s="131">
        <f t="shared" si="53"/>
        <v>9</v>
      </c>
      <c r="D56" s="112"/>
      <c r="E56" s="345"/>
      <c r="F56" s="112"/>
      <c r="G56" s="492"/>
      <c r="H56" s="493"/>
      <c r="I56" s="493"/>
      <c r="J56" s="493"/>
      <c r="K56" s="494"/>
      <c r="L56" s="323"/>
      <c r="M56" s="323"/>
      <c r="N56" s="323"/>
      <c r="O56" s="323"/>
      <c r="P56" s="322"/>
      <c r="Q56" s="323"/>
      <c r="R56" s="364"/>
      <c r="S56" s="321"/>
      <c r="T56" s="344" t="str">
        <f>IF(E56="","",IF($K$8="X","",+'QA thin lift'!I36))</f>
        <v/>
      </c>
      <c r="U56" s="109"/>
      <c r="V56" s="125" t="str">
        <f t="shared" si="48"/>
        <v/>
      </c>
      <c r="W56" s="126" t="str">
        <f t="shared" si="44"/>
        <v/>
      </c>
      <c r="X56" s="127" t="str">
        <f t="shared" si="49"/>
        <v/>
      </c>
      <c r="Y56" s="128" t="str">
        <f t="shared" si="45"/>
        <v/>
      </c>
      <c r="Z56" s="129" t="str">
        <f t="shared" si="46"/>
        <v/>
      </c>
      <c r="AA56" s="164"/>
      <c r="AB56" s="240"/>
      <c r="AC56" s="240" t="e">
        <f t="shared" si="47"/>
        <v>#VALUE!</v>
      </c>
      <c r="AD56" s="165"/>
      <c r="AE56" s="165"/>
      <c r="AF56" s="156" t="str">
        <f t="shared" si="50"/>
        <v/>
      </c>
      <c r="AG56" s="156" t="str">
        <f t="shared" si="51"/>
        <v/>
      </c>
      <c r="AH56" s="156" t="str">
        <f t="shared" si="52"/>
        <v/>
      </c>
      <c r="AI56" s="156" t="str">
        <f>+IF(L56=1,X56,"")</f>
        <v/>
      </c>
      <c r="AJ56" s="194">
        <f t="shared" si="69"/>
        <v>5</v>
      </c>
      <c r="AK56" s="158" t="str">
        <f t="shared" si="70"/>
        <v/>
      </c>
      <c r="AL56" s="159">
        <f t="shared" si="71"/>
        <v>5</v>
      </c>
      <c r="AM56" s="166" t="str">
        <f t="shared" si="59"/>
        <v/>
      </c>
      <c r="AN56" s="163" t="str">
        <f t="shared" si="72"/>
        <v/>
      </c>
      <c r="AO56" s="369" t="str">
        <f t="shared" si="54"/>
        <v/>
      </c>
      <c r="AP56" s="162" t="str">
        <f t="shared" si="60"/>
        <v/>
      </c>
      <c r="AQ56" s="166" t="str">
        <f t="shared" si="61"/>
        <v/>
      </c>
      <c r="AR56" s="163" t="str">
        <f t="shared" si="73"/>
        <v/>
      </c>
      <c r="AS56" s="197" t="str">
        <f t="shared" si="55"/>
        <v/>
      </c>
      <c r="AT56" s="160" t="str">
        <f t="shared" si="62"/>
        <v/>
      </c>
      <c r="AU56" s="166" t="str">
        <f t="shared" si="63"/>
        <v/>
      </c>
      <c r="AV56" s="163" t="str">
        <f t="shared" si="74"/>
        <v/>
      </c>
      <c r="AW56" s="197" t="str">
        <f t="shared" si="56"/>
        <v/>
      </c>
      <c r="AX56" s="160" t="str">
        <f t="shared" si="64"/>
        <v/>
      </c>
      <c r="AY56" s="166" t="str">
        <f t="shared" si="65"/>
        <v/>
      </c>
      <c r="AZ56" s="163" t="str">
        <f t="shared" si="75"/>
        <v/>
      </c>
      <c r="BA56" s="163" t="str">
        <f t="shared" si="57"/>
        <v/>
      </c>
      <c r="BB56" s="160" t="str">
        <f t="shared" si="66"/>
        <v/>
      </c>
      <c r="BC56" s="166" t="str">
        <f t="shared" si="67"/>
        <v/>
      </c>
      <c r="BD56" s="163" t="str">
        <f t="shared" si="76"/>
        <v/>
      </c>
      <c r="BE56" s="163" t="str">
        <f t="shared" si="58"/>
        <v/>
      </c>
      <c r="BF56" s="160" t="str">
        <f t="shared" si="68"/>
        <v/>
      </c>
      <c r="BG56" s="46"/>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row>
    <row r="57" spans="1:105" s="167" customFormat="1" ht="24" customHeight="1" thickTop="1" thickBot="1" x14ac:dyDescent="0.3">
      <c r="A57" s="55"/>
      <c r="B57" s="55"/>
      <c r="C57" s="131">
        <f t="shared" si="53"/>
        <v>10</v>
      </c>
      <c r="D57" s="112"/>
      <c r="E57" s="345"/>
      <c r="F57" s="112"/>
      <c r="G57" s="487"/>
      <c r="H57" s="488"/>
      <c r="I57" s="488"/>
      <c r="J57" s="488"/>
      <c r="K57" s="489"/>
      <c r="L57" s="108"/>
      <c r="M57" s="108"/>
      <c r="N57" s="108"/>
      <c r="O57" s="323"/>
      <c r="P57" s="109"/>
      <c r="Q57" s="108"/>
      <c r="R57" s="108"/>
      <c r="S57" s="109"/>
      <c r="T57" s="344" t="str">
        <f>IF(E57="","",IF($K$8="X","",+'QA thin lift'!I37))</f>
        <v/>
      </c>
      <c r="U57" s="109"/>
      <c r="V57" s="125" t="str">
        <f t="shared" si="48"/>
        <v/>
      </c>
      <c r="W57" s="126" t="str">
        <f t="shared" si="44"/>
        <v/>
      </c>
      <c r="X57" s="127" t="str">
        <f>IF(OR(L57="",R57="",Q57=""),"",ROUNDUP(IF(L57="","",IF($K$8="x",(IF(L57=1,V57/$T$13*100,IF(L57=2,V57/$W$13*100,IF(L57=3,V57/$Z$13*100)))),IF($K$9="x",(IF(L57=1,S57/$T$12*100,IF(L57=2,S57/$W$12*100,IF(L57=3,S57/$Z$12*100,""))))))),0))</f>
        <v/>
      </c>
      <c r="Y57" s="128" t="str">
        <f t="shared" si="45"/>
        <v/>
      </c>
      <c r="Z57" s="129" t="str">
        <f>IF(OR(E57="",W57="",V57="",U57="",S57="",R57="",Q57=""),"",IF(AND($K$9="X",Y57&lt;95),"ERR grade",IF(L57="","",+IF(AND($K$8="",$K$9=""),"",IF(X57&lt;Y57,"FAIL","PASS")))))</f>
        <v/>
      </c>
      <c r="AA57" s="198"/>
      <c r="AB57" s="240"/>
      <c r="AC57" s="240" t="e">
        <f t="shared" si="47"/>
        <v>#VALUE!</v>
      </c>
      <c r="AD57" s="165"/>
      <c r="AE57" s="165"/>
      <c r="AF57" s="156" t="str">
        <f t="shared" si="50"/>
        <v/>
      </c>
      <c r="AG57" s="156" t="str">
        <f t="shared" si="51"/>
        <v/>
      </c>
      <c r="AH57" s="156" t="str">
        <f t="shared" si="52"/>
        <v/>
      </c>
      <c r="AI57" s="156" t="str">
        <f>+IF(L57=1,X57,"")</f>
        <v/>
      </c>
      <c r="AJ57" s="194">
        <f t="shared" si="69"/>
        <v>6</v>
      </c>
      <c r="AK57" s="158" t="str">
        <f t="shared" si="70"/>
        <v/>
      </c>
      <c r="AL57" s="159">
        <f t="shared" si="71"/>
        <v>6</v>
      </c>
      <c r="AM57" s="166" t="str">
        <f t="shared" si="59"/>
        <v/>
      </c>
      <c r="AN57" s="163" t="str">
        <f t="shared" si="72"/>
        <v/>
      </c>
      <c r="AO57" s="369" t="str">
        <f t="shared" si="54"/>
        <v/>
      </c>
      <c r="AP57" s="162" t="str">
        <f>+IF(AND(AM57=1,P53=4),+S53,"")</f>
        <v/>
      </c>
      <c r="AQ57" s="166" t="str">
        <f t="shared" si="61"/>
        <v/>
      </c>
      <c r="AR57" s="163" t="str">
        <f t="shared" si="73"/>
        <v/>
      </c>
      <c r="AS57" s="197" t="str">
        <f t="shared" si="55"/>
        <v/>
      </c>
      <c r="AT57" s="160" t="str">
        <f t="shared" si="62"/>
        <v/>
      </c>
      <c r="AU57" s="166" t="str">
        <f t="shared" si="63"/>
        <v/>
      </c>
      <c r="AV57" s="163" t="str">
        <f t="shared" si="74"/>
        <v/>
      </c>
      <c r="AW57" s="197" t="str">
        <f t="shared" si="56"/>
        <v/>
      </c>
      <c r="AX57" s="160" t="str">
        <f t="shared" si="64"/>
        <v/>
      </c>
      <c r="AY57" s="166" t="str">
        <f t="shared" si="65"/>
        <v/>
      </c>
      <c r="AZ57" s="163" t="str">
        <f t="shared" si="75"/>
        <v/>
      </c>
      <c r="BA57" s="163" t="str">
        <f t="shared" si="57"/>
        <v/>
      </c>
      <c r="BB57" s="160" t="str">
        <f t="shared" si="66"/>
        <v/>
      </c>
      <c r="BC57" s="166" t="str">
        <f t="shared" si="67"/>
        <v/>
      </c>
      <c r="BD57" s="163" t="str">
        <f t="shared" si="76"/>
        <v/>
      </c>
      <c r="BE57" s="163" t="str">
        <f t="shared" si="58"/>
        <v/>
      </c>
      <c r="BF57" s="160" t="str">
        <f t="shared" si="68"/>
        <v/>
      </c>
      <c r="BG57" s="46"/>
      <c r="BH57" s="50"/>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row>
    <row r="58" spans="1:105" ht="19.5" thickTop="1" thickBot="1" x14ac:dyDescent="0.3">
      <c r="C58" s="71"/>
      <c r="D58" s="72"/>
      <c r="E58" s="73"/>
      <c r="F58" s="39"/>
      <c r="G58" s="39"/>
      <c r="H58" s="39"/>
      <c r="I58" s="39"/>
      <c r="J58" s="39"/>
      <c r="K58" s="39"/>
      <c r="L58" s="39"/>
      <c r="M58" s="39"/>
      <c r="N58" s="39"/>
      <c r="O58" s="496" t="s">
        <v>187</v>
      </c>
      <c r="P58" s="497"/>
      <c r="Q58" s="497"/>
      <c r="R58" s="498"/>
      <c r="S58" s="39"/>
      <c r="T58" s="39"/>
      <c r="U58" s="39"/>
      <c r="V58" s="39"/>
      <c r="W58" s="40"/>
      <c r="X58" s="40"/>
      <c r="Y58" s="39"/>
      <c r="Z58" s="9"/>
      <c r="AA58" s="102"/>
      <c r="AB58" s="102"/>
      <c r="AC58" s="102"/>
      <c r="AD58" s="102"/>
      <c r="AE58" s="173" t="s">
        <v>22</v>
      </c>
      <c r="AF58" s="268">
        <f>+COUNT(AF48:AF57)</f>
        <v>4</v>
      </c>
      <c r="AG58" s="268">
        <f>+COUNT(AG48:AG57)</f>
        <v>0</v>
      </c>
      <c r="AH58" s="268">
        <f>+COUNT(AH48:AH57)</f>
        <v>0</v>
      </c>
      <c r="AI58" s="200"/>
      <c r="AJ58" s="194">
        <f t="shared" si="69"/>
        <v>7</v>
      </c>
      <c r="AK58" s="158" t="str">
        <f t="shared" si="70"/>
        <v/>
      </c>
      <c r="AL58" s="159">
        <f t="shared" si="71"/>
        <v>7</v>
      </c>
      <c r="AM58" s="166" t="str">
        <f t="shared" si="59"/>
        <v/>
      </c>
      <c r="AN58" s="163" t="str">
        <f t="shared" si="72"/>
        <v/>
      </c>
      <c r="AO58" s="369" t="str">
        <f t="shared" si="54"/>
        <v/>
      </c>
      <c r="AP58" s="162" t="str">
        <f t="shared" ref="AP58:AP61" si="77">+IF(AND(AM58=1,P54=4),+S54,"")</f>
        <v/>
      </c>
      <c r="AQ58" s="166" t="str">
        <f t="shared" si="61"/>
        <v/>
      </c>
      <c r="AR58" s="163" t="str">
        <f t="shared" si="73"/>
        <v/>
      </c>
      <c r="AS58" s="197" t="str">
        <f t="shared" si="55"/>
        <v/>
      </c>
      <c r="AT58" s="160" t="str">
        <f t="shared" si="62"/>
        <v/>
      </c>
      <c r="AU58" s="166" t="str">
        <f t="shared" si="63"/>
        <v/>
      </c>
      <c r="AV58" s="163" t="str">
        <f t="shared" si="74"/>
        <v/>
      </c>
      <c r="AW58" s="197" t="str">
        <f t="shared" si="56"/>
        <v/>
      </c>
      <c r="AX58" s="160" t="str">
        <f t="shared" si="64"/>
        <v/>
      </c>
      <c r="AY58" s="166" t="str">
        <f t="shared" si="65"/>
        <v/>
      </c>
      <c r="AZ58" s="163" t="str">
        <f t="shared" si="75"/>
        <v/>
      </c>
      <c r="BA58" s="163" t="str">
        <f t="shared" si="57"/>
        <v/>
      </c>
      <c r="BB58" s="160" t="str">
        <f t="shared" si="66"/>
        <v/>
      </c>
      <c r="BC58" s="166" t="str">
        <f t="shared" si="67"/>
        <v/>
      </c>
      <c r="BD58" s="163" t="str">
        <f t="shared" si="76"/>
        <v/>
      </c>
      <c r="BE58" s="163" t="str">
        <f t="shared" si="58"/>
        <v/>
      </c>
      <c r="BF58" s="160" t="str">
        <f t="shared" si="68"/>
        <v/>
      </c>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row>
    <row r="59" spans="1:105" ht="19.5" thickTop="1" thickBot="1" x14ac:dyDescent="0.3">
      <c r="C59" s="10"/>
      <c r="D59" s="101"/>
      <c r="E59" s="101"/>
      <c r="F59" s="102"/>
      <c r="G59" s="102"/>
      <c r="H59" s="101" t="s">
        <v>109</v>
      </c>
      <c r="I59" s="102"/>
      <c r="J59" s="102"/>
      <c r="K59" s="102"/>
      <c r="L59" s="102"/>
      <c r="M59" s="102"/>
      <c r="N59" s="102"/>
      <c r="O59" s="516" t="s">
        <v>155</v>
      </c>
      <c r="P59" s="506"/>
      <c r="Q59" s="506" t="s">
        <v>155</v>
      </c>
      <c r="R59" s="507"/>
      <c r="T59" s="60"/>
      <c r="V59" s="314" t="s">
        <v>48</v>
      </c>
      <c r="W59" s="317"/>
      <c r="X59" s="312" t="s">
        <v>49</v>
      </c>
      <c r="Y59" s="313"/>
      <c r="Z59" s="11"/>
      <c r="AA59" s="102"/>
      <c r="AB59" s="102"/>
      <c r="AC59" s="102"/>
      <c r="AD59" s="102"/>
      <c r="AE59" s="102"/>
      <c r="AF59" s="202"/>
      <c r="AG59" s="102"/>
      <c r="AH59" s="102"/>
      <c r="AI59" s="200"/>
      <c r="AJ59" s="194">
        <f t="shared" si="69"/>
        <v>8</v>
      </c>
      <c r="AK59" s="158" t="str">
        <f t="shared" si="70"/>
        <v/>
      </c>
      <c r="AL59" s="159">
        <f t="shared" si="71"/>
        <v>8</v>
      </c>
      <c r="AM59" s="166" t="str">
        <f t="shared" si="59"/>
        <v/>
      </c>
      <c r="AN59" s="163" t="str">
        <f t="shared" si="72"/>
        <v/>
      </c>
      <c r="AO59" s="369" t="str">
        <f t="shared" si="54"/>
        <v/>
      </c>
      <c r="AP59" s="162" t="str">
        <f t="shared" si="77"/>
        <v/>
      </c>
      <c r="AQ59" s="166" t="str">
        <f t="shared" si="61"/>
        <v/>
      </c>
      <c r="AR59" s="163" t="str">
        <f t="shared" si="73"/>
        <v/>
      </c>
      <c r="AS59" s="197" t="str">
        <f t="shared" si="55"/>
        <v/>
      </c>
      <c r="AT59" s="160" t="str">
        <f t="shared" si="62"/>
        <v/>
      </c>
      <c r="AU59" s="166" t="str">
        <f t="shared" si="63"/>
        <v/>
      </c>
      <c r="AV59" s="163" t="str">
        <f t="shared" si="74"/>
        <v/>
      </c>
      <c r="AW59" s="197" t="str">
        <f t="shared" si="56"/>
        <v/>
      </c>
      <c r="AX59" s="160" t="str">
        <f t="shared" si="64"/>
        <v/>
      </c>
      <c r="AY59" s="166" t="str">
        <f t="shared" si="65"/>
        <v/>
      </c>
      <c r="AZ59" s="163" t="str">
        <f t="shared" si="75"/>
        <v/>
      </c>
      <c r="BA59" s="163" t="str">
        <f t="shared" si="57"/>
        <v/>
      </c>
      <c r="BB59" s="160" t="str">
        <f t="shared" si="66"/>
        <v/>
      </c>
      <c r="BC59" s="166" t="str">
        <f t="shared" si="67"/>
        <v/>
      </c>
      <c r="BD59" s="163" t="str">
        <f t="shared" si="76"/>
        <v/>
      </c>
      <c r="BE59" s="163" t="str">
        <f t="shared" si="58"/>
        <v/>
      </c>
      <c r="BF59" s="160" t="str">
        <f t="shared" si="68"/>
        <v/>
      </c>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row>
    <row r="60" spans="1:105" ht="21" customHeight="1" thickTop="1" thickBot="1" x14ac:dyDescent="0.3">
      <c r="C60" s="244" t="str">
        <f>IF($K$9="x","VERIFICATION : Rice 1","VERIFICATION : Proctor 1")</f>
        <v>VERIFICATION : Proctor 1</v>
      </c>
      <c r="D60" s="243"/>
      <c r="E60" s="245"/>
      <c r="F60" s="542" t="s">
        <v>42</v>
      </c>
      <c r="G60" s="542"/>
      <c r="H60" s="542"/>
      <c r="I60" s="543"/>
      <c r="J60" s="342" t="s">
        <v>40</v>
      </c>
      <c r="K60" s="12"/>
      <c r="L60" s="12"/>
      <c r="M60" s="374"/>
      <c r="O60" s="508"/>
      <c r="P60" s="509"/>
      <c r="Q60" s="509"/>
      <c r="R60" s="510"/>
      <c r="V60" s="315" t="s">
        <v>6</v>
      </c>
      <c r="W60" s="275"/>
      <c r="X60" s="95" t="s">
        <v>9</v>
      </c>
      <c r="Y60" s="96"/>
      <c r="Z60" s="11"/>
      <c r="AA60" s="102"/>
      <c r="AB60" s="102"/>
      <c r="AC60" s="102"/>
      <c r="AD60" s="102"/>
      <c r="AE60" s="102" t="s">
        <v>113</v>
      </c>
      <c r="AF60" s="202"/>
      <c r="AG60" s="202"/>
      <c r="AH60" s="202"/>
      <c r="AI60" s="264"/>
      <c r="AJ60" s="194">
        <f t="shared" si="69"/>
        <v>9</v>
      </c>
      <c r="AK60" s="158" t="str">
        <f t="shared" si="70"/>
        <v/>
      </c>
      <c r="AL60" s="159">
        <f t="shared" si="71"/>
        <v>9</v>
      </c>
      <c r="AM60" s="166" t="str">
        <f t="shared" si="59"/>
        <v/>
      </c>
      <c r="AN60" s="163" t="str">
        <f t="shared" si="72"/>
        <v/>
      </c>
      <c r="AO60" s="369" t="str">
        <f t="shared" si="54"/>
        <v/>
      </c>
      <c r="AP60" s="162" t="str">
        <f t="shared" si="77"/>
        <v/>
      </c>
      <c r="AQ60" s="166" t="str">
        <f t="shared" si="61"/>
        <v/>
      </c>
      <c r="AR60" s="163" t="str">
        <f t="shared" si="73"/>
        <v/>
      </c>
      <c r="AS60" s="197" t="str">
        <f t="shared" si="55"/>
        <v/>
      </c>
      <c r="AT60" s="160" t="str">
        <f t="shared" si="62"/>
        <v/>
      </c>
      <c r="AU60" s="166" t="str">
        <f t="shared" si="63"/>
        <v/>
      </c>
      <c r="AV60" s="163" t="str">
        <f t="shared" si="74"/>
        <v/>
      </c>
      <c r="AW60" s="197" t="str">
        <f t="shared" si="56"/>
        <v/>
      </c>
      <c r="AX60" s="160" t="str">
        <f t="shared" si="64"/>
        <v/>
      </c>
      <c r="AY60" s="166" t="str">
        <f t="shared" si="65"/>
        <v/>
      </c>
      <c r="AZ60" s="163" t="str">
        <f t="shared" si="75"/>
        <v/>
      </c>
      <c r="BA60" s="163" t="str">
        <f t="shared" si="57"/>
        <v/>
      </c>
      <c r="BB60" s="160" t="str">
        <f t="shared" si="66"/>
        <v/>
      </c>
      <c r="BC60" s="166" t="str">
        <f t="shared" si="67"/>
        <v/>
      </c>
      <c r="BD60" s="163" t="str">
        <f t="shared" si="76"/>
        <v/>
      </c>
      <c r="BE60" s="163" t="str">
        <f t="shared" si="58"/>
        <v/>
      </c>
      <c r="BF60" s="160" t="str">
        <f t="shared" si="68"/>
        <v/>
      </c>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row>
    <row r="61" spans="1:105" ht="21" customHeight="1" thickTop="1" x14ac:dyDescent="0.25">
      <c r="C61" s="15" t="s">
        <v>24</v>
      </c>
      <c r="D61" s="37"/>
      <c r="E61" s="61"/>
      <c r="F61" s="17" t="s">
        <v>171</v>
      </c>
      <c r="G61" s="371">
        <f>+IF(AF47=1,IF(AND(AF46&gt;0,AF58&gt;0),IF(AF15=AF47,AF63,"DIFF PROCT"),""))</f>
        <v>0.11588965246957147</v>
      </c>
      <c r="H61" s="432" t="str">
        <f>+IF(G61="","",IF(G61&lt;0.05,"Unequal Variance","Equal Variance"))</f>
        <v>Equal Variance</v>
      </c>
      <c r="I61" s="49"/>
      <c r="J61" s="17" t="s">
        <v>170</v>
      </c>
      <c r="K61" s="370">
        <f>+IF(AF46=0,"no data",IF(AF58=0,"no data",IF(AND(AF47=1,AF46&gt;0,AF58&gt;0),AF64,"")))</f>
        <v>0.15713570392660436</v>
      </c>
      <c r="L61" s="273" t="str">
        <f>+IF(K61="","",IF(OR(ISTEXT(K61),K61=""),"",IF(K61&lt;0.05,"FAIL","PASS")))</f>
        <v>PASS</v>
      </c>
      <c r="M61" s="375"/>
      <c r="O61" s="496" t="s">
        <v>154</v>
      </c>
      <c r="P61" s="511"/>
      <c r="Q61" s="512" t="s">
        <v>188</v>
      </c>
      <c r="R61" s="498"/>
      <c r="V61" s="315" t="s">
        <v>7</v>
      </c>
      <c r="W61" s="275"/>
      <c r="X61" s="95" t="s">
        <v>10</v>
      </c>
      <c r="Y61" s="96"/>
      <c r="Z61" s="11"/>
      <c r="AA61" s="102"/>
      <c r="AB61" s="102"/>
      <c r="AC61" s="102"/>
      <c r="AD61" s="102"/>
      <c r="AE61" s="102" t="s">
        <v>114</v>
      </c>
      <c r="AF61" s="202"/>
      <c r="AG61" s="202"/>
      <c r="AH61" s="202"/>
      <c r="AI61" s="264"/>
      <c r="AJ61" s="194">
        <f t="shared" si="69"/>
        <v>10</v>
      </c>
      <c r="AK61" s="158" t="str">
        <f t="shared" si="70"/>
        <v/>
      </c>
      <c r="AL61" s="159">
        <f t="shared" si="71"/>
        <v>10</v>
      </c>
      <c r="AM61" s="166" t="str">
        <f t="shared" si="59"/>
        <v/>
      </c>
      <c r="AN61" s="163" t="str">
        <f t="shared" si="72"/>
        <v/>
      </c>
      <c r="AO61" s="195" t="str">
        <f t="shared" si="54"/>
        <v/>
      </c>
      <c r="AP61" s="162" t="str">
        <f t="shared" si="77"/>
        <v/>
      </c>
      <c r="AQ61" s="166" t="str">
        <f t="shared" si="61"/>
        <v/>
      </c>
      <c r="AR61" s="163" t="str">
        <f t="shared" si="73"/>
        <v/>
      </c>
      <c r="AS61" s="197" t="str">
        <f t="shared" si="55"/>
        <v/>
      </c>
      <c r="AT61" s="160" t="str">
        <f t="shared" si="62"/>
        <v/>
      </c>
      <c r="AU61" s="166" t="str">
        <f t="shared" si="63"/>
        <v/>
      </c>
      <c r="AV61" s="163" t="str">
        <f t="shared" si="74"/>
        <v/>
      </c>
      <c r="AW61" s="197" t="str">
        <f t="shared" si="56"/>
        <v/>
      </c>
      <c r="AX61" s="160" t="str">
        <f t="shared" si="64"/>
        <v/>
      </c>
      <c r="AY61" s="166" t="str">
        <f t="shared" si="65"/>
        <v/>
      </c>
      <c r="AZ61" s="163" t="str">
        <f t="shared" si="75"/>
        <v/>
      </c>
      <c r="BA61" s="163" t="str">
        <f t="shared" si="57"/>
        <v/>
      </c>
      <c r="BB61" s="160" t="str">
        <f t="shared" si="66"/>
        <v/>
      </c>
      <c r="BC61" s="166" t="str">
        <f t="shared" si="67"/>
        <v/>
      </c>
      <c r="BD61" s="163" t="str">
        <f t="shared" si="76"/>
        <v/>
      </c>
      <c r="BE61" s="163" t="str">
        <f t="shared" si="58"/>
        <v/>
      </c>
      <c r="BF61" s="160" t="str">
        <f t="shared" si="68"/>
        <v/>
      </c>
    </row>
    <row r="62" spans="1:105" ht="21" customHeight="1" thickBot="1" x14ac:dyDescent="0.3">
      <c r="C62" s="20" t="s">
        <v>37</v>
      </c>
      <c r="D62" s="63"/>
      <c r="E62" s="21"/>
      <c r="F62" s="21"/>
      <c r="G62" s="203"/>
      <c r="I62" s="372"/>
      <c r="J62" s="68" t="s">
        <v>23</v>
      </c>
      <c r="K62" s="22"/>
      <c r="L62" s="22"/>
      <c r="M62" s="376"/>
      <c r="O62" s="380" t="s">
        <v>134</v>
      </c>
      <c r="P62" s="408"/>
      <c r="Q62" s="402" t="s">
        <v>134</v>
      </c>
      <c r="R62" s="407"/>
      <c r="V62" s="315" t="s">
        <v>8</v>
      </c>
      <c r="W62" s="275"/>
      <c r="X62" s="319" t="s">
        <v>120</v>
      </c>
      <c r="Y62" s="97"/>
      <c r="Z62" s="11"/>
      <c r="AA62" s="102"/>
      <c r="AB62" s="102"/>
      <c r="AC62" s="102"/>
      <c r="AD62" s="102" t="s">
        <v>168</v>
      </c>
      <c r="AF62" s="241">
        <v>1</v>
      </c>
      <c r="AG62" s="241">
        <v>2</v>
      </c>
      <c r="AH62" s="241">
        <v>3</v>
      </c>
      <c r="AI62" s="264"/>
      <c r="AJ62" s="204"/>
      <c r="AK62" s="205"/>
      <c r="AL62" s="102"/>
      <c r="AM62" s="102"/>
      <c r="AN62" s="102"/>
      <c r="AO62" s="176" t="str">
        <f>+IF(COUNT(AO52:AO61)&lt;3,"N/A",IF(SUM(AO52:AO61)="","",RSQ(AO52:AO61,AP52:AP61)))</f>
        <v>N/A</v>
      </c>
      <c r="AP62" s="206"/>
      <c r="AQ62" s="206"/>
      <c r="AR62" s="207"/>
      <c r="AS62" s="176" t="str">
        <f>+IF(COUNT(AS52:AS61)&lt;3,"N/A",IF(SUM(AS52:AS61)="","",RSQ(AS52:AS61,AT52:AT61)))</f>
        <v>N/A</v>
      </c>
      <c r="AT62" s="207"/>
      <c r="AU62" s="207"/>
      <c r="AV62" s="207"/>
      <c r="AW62" s="176">
        <f>+IF(COUNT(AW52:AW61)&lt;3,"N/A",IF(SUM(AW52:AW61)="","",RSQ(AW52:AW61,AX52:AX61)))</f>
        <v>0.99999397596409612</v>
      </c>
      <c r="AX62" s="207"/>
      <c r="AY62" s="207"/>
      <c r="AZ62" s="207"/>
      <c r="BA62" s="176" t="str">
        <f>+IF(COUNT(BA52:BA61)&lt;3,"N/A",IF(SUM(BA52:BA61)="","",RSQ(BA52:BA61,BB52:BB61)))</f>
        <v>N/A</v>
      </c>
      <c r="BB62" s="207"/>
      <c r="BC62" s="207"/>
      <c r="BD62" s="207"/>
      <c r="BE62" s="176" t="str">
        <f>+IF(COUNT(BE52:BE61)&lt;3,"N/A",IF(SUM(BE52:BE61)="","",RSQ(BE52:BE61,BF52:BF61)))</f>
        <v>N/A</v>
      </c>
    </row>
    <row r="63" spans="1:105" ht="21" customHeight="1" thickTop="1" x14ac:dyDescent="0.25">
      <c r="C63" s="244" t="str">
        <f>IF($K$9="x","VERIFICATION : Rice 2","VERIFICATION : Proctor 2")</f>
        <v>VERIFICATION : Proctor 2</v>
      </c>
      <c r="D63" s="251"/>
      <c r="E63" s="257"/>
      <c r="F63" s="542" t="s">
        <v>42</v>
      </c>
      <c r="G63" s="542"/>
      <c r="H63" s="542"/>
      <c r="I63" s="543"/>
      <c r="J63" s="121" t="s">
        <v>40</v>
      </c>
      <c r="K63" s="258"/>
      <c r="L63" s="258"/>
      <c r="M63" s="377"/>
      <c r="O63" s="380" t="s">
        <v>135</v>
      </c>
      <c r="P63" s="409"/>
      <c r="Q63" s="402" t="s">
        <v>135</v>
      </c>
      <c r="R63" s="418"/>
      <c r="V63" s="310" t="s">
        <v>119</v>
      </c>
      <c r="W63" s="275"/>
      <c r="X63" s="277"/>
      <c r="Y63" s="276"/>
      <c r="Z63" s="11"/>
      <c r="AA63" s="102"/>
      <c r="AB63" s="102"/>
      <c r="AC63" s="102"/>
      <c r="AD63" s="102"/>
      <c r="AE63" s="102" t="s">
        <v>20</v>
      </c>
      <c r="AF63" s="202">
        <f>IF($Q$16="","",IF(OR(AF46&lt;2,AF58&lt;2),"&lt;2pts",IF(AF66=0,0,FTEST(AF48:AF57,AF16:AF45))))</f>
        <v>0.11588965246957147</v>
      </c>
      <c r="AG63" s="202" t="str">
        <f>IF($Q$16="","",IF(OR(AG46&lt;2,AG58&lt;2),"&lt;2pts",IF(AG66=0,0,FTEST(AG48:AG57,AG16:AG45))))</f>
        <v>&lt;2pts</v>
      </c>
      <c r="AH63" s="202" t="str">
        <f>IF($Q$16="","",IF(OR(AH46&lt;2,AH58&lt;2),"&lt;2pts",IF(AH66=0,0,FTEST(AH48:AH57,AH16:AH45))))</f>
        <v>&lt;2pts</v>
      </c>
      <c r="AI63" s="264"/>
      <c r="AJ63" s="204"/>
      <c r="AK63" s="205"/>
      <c r="AL63" s="102"/>
      <c r="AM63" s="102"/>
      <c r="AN63" s="102"/>
      <c r="AO63" s="208" t="s">
        <v>79</v>
      </c>
      <c r="AP63" s="208"/>
      <c r="AQ63" s="208"/>
      <c r="AS63" s="208" t="s">
        <v>80</v>
      </c>
      <c r="AW63" s="18" t="s">
        <v>81</v>
      </c>
      <c r="BA63" s="18" t="s">
        <v>82</v>
      </c>
      <c r="BE63" s="18" t="s">
        <v>83</v>
      </c>
    </row>
    <row r="64" spans="1:105" ht="21" customHeight="1" thickBot="1" x14ac:dyDescent="0.3">
      <c r="C64" s="246" t="s">
        <v>24</v>
      </c>
      <c r="D64" s="253"/>
      <c r="E64" s="254"/>
      <c r="F64" s="17" t="s">
        <v>171</v>
      </c>
      <c r="G64" s="371" t="str">
        <f>+IF(AG47=2,IF(AND(AG46&gt;0,AG58&gt;0),IF(AG15=AG47,AG63,"DIFF PROCT"),""))</f>
        <v/>
      </c>
      <c r="H64" s="432" t="str">
        <f>+IF(G64="","",IF(G64&lt;0.05,"Unequal Variance","Equal Variance"))</f>
        <v/>
      </c>
      <c r="I64" s="48"/>
      <c r="J64" s="17" t="s">
        <v>170</v>
      </c>
      <c r="K64" s="370" t="str">
        <f>+IF(AG46=0,"no data",IF(AG58=0,"no data",IF(AND(AG47=2,AG46&gt;0,AG58&gt;0),AG64,"")))</f>
        <v>no data</v>
      </c>
      <c r="L64" s="273" t="str">
        <f>+IF(K64="","",IF(OR(ISTEXT(K64),K64=""),"",IF(K64&lt;0.05,"FAIL","PASS")))</f>
        <v/>
      </c>
      <c r="M64" s="375"/>
      <c r="O64" s="380" t="s">
        <v>136</v>
      </c>
      <c r="P64" s="409"/>
      <c r="Q64" s="402" t="s">
        <v>136</v>
      </c>
      <c r="R64" s="418"/>
      <c r="V64" s="316" t="s">
        <v>3</v>
      </c>
      <c r="W64" s="318"/>
      <c r="X64" s="278"/>
      <c r="Y64" s="279"/>
      <c r="Z64" s="11"/>
      <c r="AA64" s="102"/>
      <c r="AB64" s="102"/>
      <c r="AC64" s="102"/>
      <c r="AD64" s="102"/>
      <c r="AE64" s="102" t="s">
        <v>39</v>
      </c>
      <c r="AF64" s="102">
        <f>IF(OR(AF46&lt;3,AF58&lt;3),"&lt;3pts",_xlfn.T.TEST(AF16:AF45,AF48:AF57,2,AF65))</f>
        <v>0.15713570392660436</v>
      </c>
      <c r="AG64" s="102" t="str">
        <f>IF(OR(AG46&lt;3,AG58&lt;3),"&lt;3pts",_xlfn.T.TEST(AG16:AG45,AG48:AG57,2,AG65))</f>
        <v>&lt;3pts</v>
      </c>
      <c r="AH64" s="102" t="str">
        <f>IF(OR(AH46&lt;3,AH58&lt;3),"&lt;3pts",_xlfn.T.TEST(AH16:AH45,AH48:AH57,2,AH65))</f>
        <v>&lt;3pts</v>
      </c>
      <c r="AI64" s="200"/>
      <c r="AJ64" s="204"/>
      <c r="AK64" s="205"/>
      <c r="AL64" s="102"/>
      <c r="AM64" s="102"/>
      <c r="AN64" s="102"/>
      <c r="AO64" s="208"/>
      <c r="AP64" s="208"/>
      <c r="AQ64" s="208"/>
      <c r="AS64" s="208"/>
    </row>
    <row r="65" spans="3:61" ht="21" customHeight="1" thickTop="1" thickBot="1" x14ac:dyDescent="0.3">
      <c r="C65" s="247" t="s">
        <v>37</v>
      </c>
      <c r="D65" s="255"/>
      <c r="E65" s="248"/>
      <c r="F65" s="248"/>
      <c r="G65" s="248"/>
      <c r="H65" s="373"/>
      <c r="I65" s="372"/>
      <c r="J65" s="68" t="s">
        <v>23</v>
      </c>
      <c r="K65" s="249"/>
      <c r="L65" s="249"/>
      <c r="M65" s="376"/>
      <c r="O65" s="380" t="s">
        <v>137</v>
      </c>
      <c r="P65" s="409"/>
      <c r="Q65" s="402" t="s">
        <v>137</v>
      </c>
      <c r="R65" s="418"/>
      <c r="Z65" s="11"/>
      <c r="AA65" s="102"/>
      <c r="AB65" s="102"/>
      <c r="AC65" s="102"/>
      <c r="AD65" s="102"/>
      <c r="AE65" s="102" t="s">
        <v>118</v>
      </c>
      <c r="AF65" s="102">
        <f>+IF(G61="","",IF(G61&gt;0.05,2,3))</f>
        <v>2</v>
      </c>
      <c r="AG65" s="102" t="str">
        <f>+IF(G64="","",IF(G64&gt;0.05,2,3))</f>
        <v/>
      </c>
      <c r="AH65" s="102" t="str">
        <f>+IF(G67="","",IF(G67&gt;0.05,2,3))</f>
        <v/>
      </c>
      <c r="AI65" s="200"/>
      <c r="AJ65" s="204"/>
      <c r="AK65" s="205"/>
      <c r="AL65" s="102"/>
      <c r="AM65" s="102"/>
      <c r="AN65" s="102"/>
      <c r="AO65" s="208"/>
      <c r="AP65" s="208"/>
      <c r="AQ65" s="208"/>
      <c r="AS65" s="208"/>
    </row>
    <row r="66" spans="3:61" ht="21" customHeight="1" thickTop="1" thickBot="1" x14ac:dyDescent="0.3">
      <c r="C66" s="244" t="str">
        <f>IF($K$9="x","VERIFICATION : Rice 3","VERIFICATION : Proctor 3")</f>
        <v>VERIFICATION : Proctor 3</v>
      </c>
      <c r="D66" s="251"/>
      <c r="E66" s="257"/>
      <c r="F66" s="542" t="s">
        <v>42</v>
      </c>
      <c r="G66" s="542"/>
      <c r="H66" s="542"/>
      <c r="I66" s="543"/>
      <c r="J66" s="121" t="s">
        <v>40</v>
      </c>
      <c r="K66" s="258"/>
      <c r="L66" s="258"/>
      <c r="M66" s="377"/>
      <c r="O66" s="380" t="s">
        <v>138</v>
      </c>
      <c r="P66" s="419"/>
      <c r="Q66" s="402" t="s">
        <v>138</v>
      </c>
      <c r="R66" s="420"/>
      <c r="T66" s="499" t="s">
        <v>107</v>
      </c>
      <c r="U66" s="500"/>
      <c r="V66" s="501"/>
      <c r="W66" s="502" t="s">
        <v>108</v>
      </c>
      <c r="X66" s="502"/>
      <c r="Y66" s="503"/>
      <c r="Z66" s="11"/>
      <c r="AA66" s="102"/>
      <c r="AB66" s="102"/>
      <c r="AC66" s="102"/>
      <c r="AD66" s="102"/>
      <c r="AE66" s="102" t="s">
        <v>115</v>
      </c>
      <c r="AF66" s="102">
        <v>1</v>
      </c>
      <c r="AG66" s="102">
        <v>1</v>
      </c>
      <c r="AH66" s="201">
        <v>1</v>
      </c>
      <c r="AI66" s="200"/>
      <c r="AJ66" s="204"/>
      <c r="AK66" s="205"/>
      <c r="AL66" s="102"/>
      <c r="AM66" s="102"/>
      <c r="AN66" s="102"/>
      <c r="AO66" s="208"/>
      <c r="AP66" s="208"/>
      <c r="AQ66" s="208"/>
      <c r="AS66" s="476" t="s">
        <v>67</v>
      </c>
      <c r="AT66" s="476"/>
      <c r="AU66" s="476"/>
      <c r="AV66" s="476"/>
      <c r="AW66" s="476"/>
      <c r="AX66" s="209"/>
    </row>
    <row r="67" spans="3:61" ht="19.5" customHeight="1" thickTop="1" thickBot="1" x14ac:dyDescent="0.3">
      <c r="C67" s="246" t="s">
        <v>24</v>
      </c>
      <c r="D67" s="253"/>
      <c r="E67" s="254"/>
      <c r="F67" s="17" t="s">
        <v>171</v>
      </c>
      <c r="G67" s="371" t="str">
        <f>+IF(AH47=3,IF(AND(AH46&gt;0,AH58&gt;0),IF(AH15=AH47,AH63,"DIFF PROCT"),""))</f>
        <v/>
      </c>
      <c r="H67" s="432" t="str">
        <f>+IF(G67="","",IF(G67&lt;0.05,"Unequal Variance","Equal Variance"))</f>
        <v/>
      </c>
      <c r="I67" s="48"/>
      <c r="J67" s="17" t="s">
        <v>170</v>
      </c>
      <c r="K67" s="370" t="str">
        <f>+IF(AH46=0,"no data",IF(AH58=0,"no data",IF(AND(AH47=3,AH46&gt;0,AH58&gt;0),AH64,"")))</f>
        <v>no data</v>
      </c>
      <c r="L67" s="273" t="str">
        <f>+IF(K67="","",IF(OR(ISTEXT(K67),K67=""),"",IF(K67&lt;0.05,"FAIL","PASS")))</f>
        <v/>
      </c>
      <c r="M67" s="375"/>
      <c r="O67" s="380" t="s">
        <v>139</v>
      </c>
      <c r="P67" s="419"/>
      <c r="Q67" s="402" t="s">
        <v>139</v>
      </c>
      <c r="R67" s="420"/>
      <c r="T67" s="475" t="s">
        <v>28</v>
      </c>
      <c r="U67" s="472" t="str">
        <f>+IF(K9="X","HMA Std 1","Soil Den std")</f>
        <v>Soil Den std</v>
      </c>
      <c r="V67" s="472" t="str">
        <f>+IF(K9="X","HMA Std 2","Moist std ct")</f>
        <v>Moist std ct</v>
      </c>
      <c r="W67" s="474" t="s">
        <v>28</v>
      </c>
      <c r="X67" s="472" t="str">
        <f>+IF(K9="X","HMA Std 1","Soil Den std")</f>
        <v>Soil Den std</v>
      </c>
      <c r="Y67" s="473" t="str">
        <f>+IF(K9="X","HMA Std 2","Soil Den std")</f>
        <v>Soil Den std</v>
      </c>
      <c r="Z67" s="11"/>
      <c r="AA67" s="102"/>
      <c r="AB67" s="102"/>
      <c r="AC67" s="102"/>
      <c r="AD67" s="102"/>
      <c r="AE67" s="102"/>
      <c r="AF67" s="102"/>
      <c r="AG67" s="102"/>
      <c r="AH67" s="201"/>
      <c r="AI67" s="200"/>
      <c r="AJ67" s="204"/>
      <c r="AK67" s="205"/>
      <c r="AL67" s="24"/>
      <c r="AM67" s="24"/>
      <c r="AN67" s="470" t="s">
        <v>51</v>
      </c>
      <c r="AO67" s="470"/>
      <c r="AP67" s="470"/>
      <c r="AQ67" s="144"/>
      <c r="AR67" s="470" t="s">
        <v>52</v>
      </c>
      <c r="AS67" s="470"/>
      <c r="AT67" s="470"/>
      <c r="AU67" s="144"/>
      <c r="AV67" s="470" t="s">
        <v>53</v>
      </c>
      <c r="AW67" s="470"/>
      <c r="AX67" s="470"/>
      <c r="AY67" s="144"/>
      <c r="AZ67" s="470" t="s">
        <v>54</v>
      </c>
      <c r="BA67" s="470"/>
      <c r="BB67" s="470"/>
      <c r="BC67" s="144"/>
      <c r="BD67" s="470" t="s">
        <v>55</v>
      </c>
      <c r="BE67" s="470"/>
      <c r="BF67" s="470"/>
      <c r="BG67" s="144"/>
    </row>
    <row r="68" spans="3:61" ht="21" customHeight="1" thickTop="1" thickBot="1" x14ac:dyDescent="0.3">
      <c r="C68" s="247" t="s">
        <v>37</v>
      </c>
      <c r="D68" s="255"/>
      <c r="E68" s="248"/>
      <c r="F68" s="248"/>
      <c r="G68" s="248"/>
      <c r="H68" s="373"/>
      <c r="I68" s="372"/>
      <c r="J68" s="256" t="s">
        <v>23</v>
      </c>
      <c r="K68" s="249"/>
      <c r="L68" s="249"/>
      <c r="M68" s="376"/>
      <c r="O68" s="380" t="s">
        <v>140</v>
      </c>
      <c r="P68" s="419"/>
      <c r="Q68" s="402" t="s">
        <v>140</v>
      </c>
      <c r="R68" s="420"/>
      <c r="T68" s="475"/>
      <c r="U68" s="472"/>
      <c r="V68" s="472"/>
      <c r="W68" s="474"/>
      <c r="X68" s="472"/>
      <c r="Y68" s="473"/>
      <c r="Z68" s="11"/>
      <c r="AB68" s="102"/>
      <c r="AC68" s="102"/>
      <c r="AD68" s="102"/>
      <c r="AE68" s="102"/>
      <c r="AF68" s="102"/>
      <c r="AG68" s="102"/>
      <c r="AH68" s="201"/>
      <c r="AI68" s="200"/>
      <c r="AJ68" s="204"/>
      <c r="AK68" s="205"/>
      <c r="AL68" s="148"/>
      <c r="AM68" s="210" t="s">
        <v>65</v>
      </c>
      <c r="AN68" s="152" t="s">
        <v>26</v>
      </c>
      <c r="AO68" s="154" t="str">
        <f>+AO50</f>
        <v>count ratio</v>
      </c>
      <c r="AP68" s="152" t="s">
        <v>27</v>
      </c>
      <c r="AQ68" s="211" t="s">
        <v>65</v>
      </c>
      <c r="AR68" s="152" t="s">
        <v>26</v>
      </c>
      <c r="AS68" s="154" t="str">
        <f>+AO68</f>
        <v>count ratio</v>
      </c>
      <c r="AT68" s="152" t="s">
        <v>27</v>
      </c>
      <c r="AU68" s="211" t="s">
        <v>65</v>
      </c>
      <c r="AV68" s="152" t="s">
        <v>26</v>
      </c>
      <c r="AW68" s="154" t="str">
        <f>+AS68</f>
        <v>count ratio</v>
      </c>
      <c r="AX68" s="152" t="s">
        <v>27</v>
      </c>
      <c r="AY68" s="211" t="s">
        <v>65</v>
      </c>
      <c r="AZ68" s="152" t="s">
        <v>26</v>
      </c>
      <c r="BA68" s="154" t="str">
        <f>+AW68</f>
        <v>count ratio</v>
      </c>
      <c r="BB68" s="152" t="s">
        <v>27</v>
      </c>
      <c r="BC68" s="211" t="s">
        <v>65</v>
      </c>
      <c r="BD68" s="152" t="s">
        <v>26</v>
      </c>
      <c r="BE68" s="154" t="str">
        <f>+BA68</f>
        <v>count ratio</v>
      </c>
      <c r="BF68" s="152" t="s">
        <v>27</v>
      </c>
      <c r="BG68" s="152"/>
      <c r="BH68" s="82"/>
      <c r="BI68" s="82"/>
    </row>
    <row r="69" spans="3:61" ht="21" customHeight="1" thickTop="1" thickBot="1" x14ac:dyDescent="0.3">
      <c r="C69" s="242"/>
      <c r="O69" s="380" t="s">
        <v>141</v>
      </c>
      <c r="P69" s="419"/>
      <c r="Q69" s="402" t="s">
        <v>141</v>
      </c>
      <c r="R69" s="420"/>
      <c r="T69" s="392">
        <v>42360</v>
      </c>
      <c r="U69" s="391">
        <v>1000</v>
      </c>
      <c r="V69" s="391">
        <v>1500</v>
      </c>
      <c r="W69" s="391"/>
      <c r="X69" s="391"/>
      <c r="Y69" s="390"/>
      <c r="Z69" s="11"/>
      <c r="AA69" s="102"/>
      <c r="AB69" s="102"/>
      <c r="AC69" s="102"/>
      <c r="AD69" s="102"/>
      <c r="AE69" s="102"/>
      <c r="AF69" s="102"/>
      <c r="AG69" s="102"/>
      <c r="AH69" s="201"/>
      <c r="AI69" s="200"/>
      <c r="AJ69" s="204"/>
      <c r="AK69" s="158">
        <f t="shared" ref="AK69:AK98" si="78">+IF(E16="","",E16)</f>
        <v>42360</v>
      </c>
      <c r="AL69" s="159">
        <f t="shared" ref="AL69:AL98" si="79">+AL16</f>
        <v>1</v>
      </c>
      <c r="AM69" s="85" t="str">
        <f t="shared" ref="AM69:AM98" si="80">+IF($L16="","",IF($L16=2,2,""))</f>
        <v/>
      </c>
      <c r="AN69" s="160" t="str">
        <f t="shared" ref="AN69:AN98" si="81">+IF(AND(AM69=2,P16=4),4,"")</f>
        <v/>
      </c>
      <c r="AO69" s="161" t="str">
        <f t="shared" ref="AO69:AO98" si="82">+IF(AK69="","",IF(AND(AM69=2,AN69=4),+(Q16/VLOOKUP($AK16,$T$69:$U$73,2)),""))</f>
        <v/>
      </c>
      <c r="AP69" s="196" t="str">
        <f>+IF(AND(AM69=2,P16=4),+S16,"")</f>
        <v/>
      </c>
      <c r="AQ69" s="85" t="str">
        <f t="shared" ref="AQ69:AQ98" si="83">+IF($L16="","",IF($L16=2,2,""))</f>
        <v/>
      </c>
      <c r="AR69" s="160" t="str">
        <f t="shared" ref="AR69:AR98" si="84">+IF(AND(AQ69=2,P16=6),6,"")</f>
        <v/>
      </c>
      <c r="AS69" s="197" t="str">
        <f>+IF(AK69="","",IF(AND(AQ69=2,P16=6),+Q16/VLOOKUP($AK69,$T$69:$U$73,2),""))</f>
        <v/>
      </c>
      <c r="AT69" s="160" t="str">
        <f>+IF(AND(AQ69=2,P16=6),+S16,"")</f>
        <v/>
      </c>
      <c r="AU69" s="85" t="str">
        <f t="shared" ref="AU69:AU98" si="85">+IF($L16="","",IF($L16=2,2,""))</f>
        <v/>
      </c>
      <c r="AV69" s="160" t="str">
        <f t="shared" ref="AV69:AV98" si="86">+IF(AND(AU69=2,P16=8),8,"")</f>
        <v/>
      </c>
      <c r="AW69" s="197" t="str">
        <f>+IF(AK69="","",IF(AND(AU69=2,P16=8),+Q16/VLOOKUP($AK69,$T$69:$U$73,2),""))</f>
        <v/>
      </c>
      <c r="AX69" s="160" t="str">
        <f>+IF(AND(AU69=2,P16=8),+S16,"")</f>
        <v/>
      </c>
      <c r="AY69" s="85" t="str">
        <f t="shared" ref="AY69:AY98" si="87">+IF($L16="","",IF($L16=2,2,""))</f>
        <v/>
      </c>
      <c r="AZ69" s="160" t="str">
        <f t="shared" ref="AZ69:AZ98" si="88">+IF(AND(AY69=2,P16=10),10,"")</f>
        <v/>
      </c>
      <c r="BA69" s="163" t="str">
        <f>+IF(AK69="","",IF(AND(AY69=2,P16=10),+Q16/VLOOKUP($AK69,$T$69:$U$73,2),""))</f>
        <v/>
      </c>
      <c r="BB69" s="160" t="str">
        <f>+IF(AND(AY69=2,P16=10),+S16,"")</f>
        <v/>
      </c>
      <c r="BC69" s="85" t="str">
        <f t="shared" ref="BC69:BC98" si="89">+IF($L16="","",IF($L16=2,2,""))</f>
        <v/>
      </c>
      <c r="BD69" s="160" t="str">
        <f t="shared" ref="BD69:BD98" si="90">+IF(AND(BC69=2,P16=12),12,"")</f>
        <v/>
      </c>
      <c r="BE69" s="163" t="str">
        <f>+IF(AK69="","",IF(AND(BC69=2,P16=12),+Q16/VLOOKUP($AK69,$T$69:$U$73,2),""))</f>
        <v/>
      </c>
      <c r="BF69" s="160" t="str">
        <f>+IF(AND(BC69=2,P16=12),+S16,"")</f>
        <v/>
      </c>
      <c r="BG69" s="46"/>
      <c r="BH69" s="84"/>
      <c r="BI69" s="55"/>
    </row>
    <row r="70" spans="3:61" ht="21" customHeight="1" thickTop="1" thickBot="1" x14ac:dyDescent="0.3">
      <c r="C70" s="252"/>
      <c r="D70" s="378"/>
      <c r="E70" s="379"/>
      <c r="F70" s="224"/>
      <c r="G70" s="224"/>
      <c r="H70" s="224"/>
      <c r="O70" s="380" t="s">
        <v>142</v>
      </c>
      <c r="P70" s="419"/>
      <c r="Q70" s="402" t="s">
        <v>142</v>
      </c>
      <c r="R70" s="420"/>
      <c r="T70" s="392">
        <v>42361</v>
      </c>
      <c r="U70" s="391">
        <v>1200</v>
      </c>
      <c r="V70" s="391">
        <v>1300</v>
      </c>
      <c r="W70" s="391"/>
      <c r="X70" s="391"/>
      <c r="Y70" s="390"/>
      <c r="Z70" s="11"/>
      <c r="AA70" s="102"/>
      <c r="AB70" s="102"/>
      <c r="AC70" s="102" t="s">
        <v>161</v>
      </c>
      <c r="AE70" s="102"/>
      <c r="AF70" s="366">
        <f>+AVERAGE(AF16:AF45)</f>
        <v>143.38571428571427</v>
      </c>
      <c r="AG70" s="366" t="e">
        <f t="shared" ref="AG70:AH70" si="91">+AVERAGE(AG16:AG45)</f>
        <v>#DIV/0!</v>
      </c>
      <c r="AH70" s="366" t="e">
        <f t="shared" si="91"/>
        <v>#DIV/0!</v>
      </c>
      <c r="AI70" s="200"/>
      <c r="AJ70" s="204"/>
      <c r="AK70" s="158">
        <f t="shared" si="78"/>
        <v>42360</v>
      </c>
      <c r="AL70" s="159">
        <f t="shared" si="79"/>
        <v>2</v>
      </c>
      <c r="AM70" s="166" t="str">
        <f t="shared" si="80"/>
        <v/>
      </c>
      <c r="AN70" s="163" t="str">
        <f t="shared" si="81"/>
        <v/>
      </c>
      <c r="AO70" s="161" t="str">
        <f t="shared" si="82"/>
        <v/>
      </c>
      <c r="AP70" s="196" t="str">
        <f t="shared" ref="AP70:AP98" si="92">+IF(AND(AM70=2,P17=4),+S17,"")</f>
        <v/>
      </c>
      <c r="AQ70" s="166" t="str">
        <f t="shared" si="83"/>
        <v/>
      </c>
      <c r="AR70" s="163" t="str">
        <f t="shared" si="84"/>
        <v/>
      </c>
      <c r="AS70" s="197" t="str">
        <f t="shared" ref="AS70:AS98" si="93">+IF(AK70="","",IF(AND(AQ70=2,P17=6),+Q17/VLOOKUP($AK70,$T$69:$U$73,2),""))</f>
        <v/>
      </c>
      <c r="AT70" s="160" t="str">
        <f t="shared" ref="AT70:AT98" si="94">+IF(AND(AQ70=2,P17=6),+S17,"")</f>
        <v/>
      </c>
      <c r="AU70" s="166" t="str">
        <f t="shared" si="85"/>
        <v/>
      </c>
      <c r="AV70" s="163" t="str">
        <f t="shared" si="86"/>
        <v/>
      </c>
      <c r="AW70" s="197" t="str">
        <f t="shared" ref="AW70:AW98" si="95">+IF(AK70="","",IF(AND(AU70=2,P17=8),+Q17/VLOOKUP($AK70,$T$69:$U$73,2),""))</f>
        <v/>
      </c>
      <c r="AX70" s="160" t="str">
        <f t="shared" ref="AX70:AX98" si="96">+IF(AND(AU70=2,P17=8),+S17,"")</f>
        <v/>
      </c>
      <c r="AY70" s="166" t="str">
        <f t="shared" si="87"/>
        <v/>
      </c>
      <c r="AZ70" s="163" t="str">
        <f t="shared" si="88"/>
        <v/>
      </c>
      <c r="BA70" s="163" t="str">
        <f t="shared" ref="BA70:BA98" si="97">+IF(AK70="","",IF(AND(AY70=2,P17=10),+Q17/VLOOKUP($AK70,$T$69:$U$73,2),""))</f>
        <v/>
      </c>
      <c r="BB70" s="160" t="str">
        <f t="shared" ref="BB70:BB98" si="98">+IF(AND(AY70=2,P17=10),+S17,"")</f>
        <v/>
      </c>
      <c r="BC70" s="166" t="str">
        <f t="shared" si="89"/>
        <v/>
      </c>
      <c r="BD70" s="163" t="str">
        <f t="shared" si="90"/>
        <v/>
      </c>
      <c r="BE70" s="163" t="str">
        <f t="shared" ref="BE70:BE98" si="99">+IF(AK70="","",IF(AND(BC70=2,P17=12),+Q17/VLOOKUP($AK70,$T$69:$U$73,2),""))</f>
        <v/>
      </c>
      <c r="BF70" s="160" t="str">
        <f t="shared" ref="BF70:BF98" si="100">+IF(AND(BC70=2,P17=12),+S17,"")</f>
        <v/>
      </c>
      <c r="BG70" s="46"/>
      <c r="BH70" s="84"/>
      <c r="BI70" s="55"/>
    </row>
    <row r="71" spans="3:61" ht="19.5" customHeight="1" thickTop="1" thickBot="1" x14ac:dyDescent="0.3">
      <c r="C71" s="65"/>
      <c r="D71" s="495" t="s">
        <v>189</v>
      </c>
      <c r="E71" s="495"/>
      <c r="F71" s="495"/>
      <c r="G71" s="495"/>
      <c r="H71" s="495"/>
      <c r="I71" s="495"/>
      <c r="J71" s="495"/>
      <c r="K71" s="495"/>
      <c r="L71" s="495"/>
      <c r="M71" s="495"/>
      <c r="N71" s="495"/>
      <c r="O71" s="380" t="s">
        <v>143</v>
      </c>
      <c r="P71" s="419"/>
      <c r="Q71" s="402" t="s">
        <v>143</v>
      </c>
      <c r="R71" s="420"/>
      <c r="T71" s="389"/>
      <c r="U71" s="391"/>
      <c r="V71" s="391"/>
      <c r="W71" s="391"/>
      <c r="X71" s="391"/>
      <c r="Y71" s="390"/>
      <c r="Z71" s="11"/>
      <c r="AA71" s="102"/>
      <c r="AB71" s="102"/>
      <c r="AC71" s="102" t="s">
        <v>162</v>
      </c>
      <c r="AE71" s="102"/>
      <c r="AF71" s="366">
        <f>+AVERAGE(AF48:AF57)</f>
        <v>141.6</v>
      </c>
      <c r="AG71" s="366" t="e">
        <f t="shared" ref="AG71:AH71" si="101">+AVERAGE(AG48:AG57)</f>
        <v>#DIV/0!</v>
      </c>
      <c r="AH71" s="366" t="e">
        <f t="shared" si="101"/>
        <v>#DIV/0!</v>
      </c>
      <c r="AI71" s="200"/>
      <c r="AJ71" s="204"/>
      <c r="AK71" s="158">
        <f t="shared" si="78"/>
        <v>42360</v>
      </c>
      <c r="AL71" s="159">
        <f t="shared" si="79"/>
        <v>3</v>
      </c>
      <c r="AM71" s="166" t="str">
        <f t="shared" si="80"/>
        <v/>
      </c>
      <c r="AN71" s="163" t="str">
        <f t="shared" si="81"/>
        <v/>
      </c>
      <c r="AO71" s="161" t="str">
        <f t="shared" si="82"/>
        <v/>
      </c>
      <c r="AP71" s="196" t="str">
        <f t="shared" si="92"/>
        <v/>
      </c>
      <c r="AQ71" s="166" t="str">
        <f t="shared" si="83"/>
        <v/>
      </c>
      <c r="AR71" s="163" t="str">
        <f t="shared" si="84"/>
        <v/>
      </c>
      <c r="AS71" s="197" t="str">
        <f t="shared" si="93"/>
        <v/>
      </c>
      <c r="AT71" s="160" t="str">
        <f t="shared" si="94"/>
        <v/>
      </c>
      <c r="AU71" s="166" t="str">
        <f t="shared" si="85"/>
        <v/>
      </c>
      <c r="AV71" s="163" t="str">
        <f t="shared" si="86"/>
        <v/>
      </c>
      <c r="AW71" s="197" t="str">
        <f t="shared" si="95"/>
        <v/>
      </c>
      <c r="AX71" s="160" t="str">
        <f t="shared" si="96"/>
        <v/>
      </c>
      <c r="AY71" s="166" t="str">
        <f t="shared" si="87"/>
        <v/>
      </c>
      <c r="AZ71" s="163" t="str">
        <f t="shared" si="88"/>
        <v/>
      </c>
      <c r="BA71" s="163" t="str">
        <f t="shared" si="97"/>
        <v/>
      </c>
      <c r="BB71" s="160" t="str">
        <f t="shared" si="98"/>
        <v/>
      </c>
      <c r="BC71" s="166" t="str">
        <f t="shared" si="89"/>
        <v/>
      </c>
      <c r="BD71" s="163" t="str">
        <f t="shared" si="90"/>
        <v/>
      </c>
      <c r="BE71" s="163" t="str">
        <f t="shared" si="99"/>
        <v/>
      </c>
      <c r="BF71" s="160" t="str">
        <f t="shared" si="100"/>
        <v/>
      </c>
      <c r="BG71" s="46"/>
      <c r="BH71" s="84"/>
      <c r="BI71" s="55"/>
    </row>
    <row r="72" spans="3:61" ht="20.25" customHeight="1" thickTop="1" thickBot="1" x14ac:dyDescent="0.3">
      <c r="C72" s="34"/>
      <c r="D72" s="495"/>
      <c r="E72" s="495"/>
      <c r="F72" s="495"/>
      <c r="G72" s="495"/>
      <c r="H72" s="495"/>
      <c r="I72" s="495"/>
      <c r="J72" s="495"/>
      <c r="K72" s="495"/>
      <c r="L72" s="495"/>
      <c r="M72" s="495"/>
      <c r="N72" s="495"/>
      <c r="O72" s="380" t="s">
        <v>144</v>
      </c>
      <c r="P72" s="419"/>
      <c r="Q72" s="402" t="s">
        <v>144</v>
      </c>
      <c r="R72" s="420"/>
      <c r="T72" s="389"/>
      <c r="U72" s="391"/>
      <c r="V72" s="391"/>
      <c r="W72" s="391"/>
      <c r="X72" s="391"/>
      <c r="Y72" s="390"/>
      <c r="AA72" s="212"/>
      <c r="AB72" s="213"/>
      <c r="AC72" s="213"/>
      <c r="AE72" s="213"/>
      <c r="AF72" s="367"/>
      <c r="AG72" s="367"/>
      <c r="AH72" s="367"/>
      <c r="AI72" s="265"/>
      <c r="AJ72" s="204"/>
      <c r="AK72" s="158">
        <f t="shared" si="78"/>
        <v>42360</v>
      </c>
      <c r="AL72" s="159">
        <f t="shared" si="79"/>
        <v>4</v>
      </c>
      <c r="AM72" s="166" t="str">
        <f t="shared" si="80"/>
        <v/>
      </c>
      <c r="AN72" s="163" t="str">
        <f t="shared" si="81"/>
        <v/>
      </c>
      <c r="AO72" s="161" t="str">
        <f t="shared" si="82"/>
        <v/>
      </c>
      <c r="AP72" s="196" t="str">
        <f t="shared" si="92"/>
        <v/>
      </c>
      <c r="AQ72" s="166" t="str">
        <f t="shared" si="83"/>
        <v/>
      </c>
      <c r="AR72" s="163" t="str">
        <f t="shared" si="84"/>
        <v/>
      </c>
      <c r="AS72" s="197" t="str">
        <f t="shared" si="93"/>
        <v/>
      </c>
      <c r="AT72" s="160" t="str">
        <f t="shared" si="94"/>
        <v/>
      </c>
      <c r="AU72" s="166" t="str">
        <f t="shared" si="85"/>
        <v/>
      </c>
      <c r="AV72" s="163" t="str">
        <f t="shared" si="86"/>
        <v/>
      </c>
      <c r="AW72" s="197" t="str">
        <f t="shared" si="95"/>
        <v/>
      </c>
      <c r="AX72" s="160" t="str">
        <f t="shared" si="96"/>
        <v/>
      </c>
      <c r="AY72" s="166" t="str">
        <f t="shared" si="87"/>
        <v/>
      </c>
      <c r="AZ72" s="163" t="str">
        <f t="shared" si="88"/>
        <v/>
      </c>
      <c r="BA72" s="163" t="str">
        <f t="shared" si="97"/>
        <v/>
      </c>
      <c r="BB72" s="160" t="str">
        <f t="shared" si="98"/>
        <v/>
      </c>
      <c r="BC72" s="166" t="str">
        <f t="shared" si="89"/>
        <v/>
      </c>
      <c r="BD72" s="163" t="str">
        <f t="shared" si="90"/>
        <v/>
      </c>
      <c r="BE72" s="163" t="str">
        <f t="shared" si="99"/>
        <v/>
      </c>
      <c r="BF72" s="160" t="str">
        <f t="shared" si="100"/>
        <v/>
      </c>
      <c r="BG72" s="46"/>
      <c r="BH72" s="84"/>
      <c r="BI72" s="55"/>
    </row>
    <row r="73" spans="3:61" ht="21.75" customHeight="1" thickTop="1" thickBot="1" x14ac:dyDescent="0.3">
      <c r="C73" s="252"/>
      <c r="D73" s="495"/>
      <c r="E73" s="495"/>
      <c r="F73" s="495"/>
      <c r="G73" s="495"/>
      <c r="H73" s="495"/>
      <c r="I73" s="495"/>
      <c r="J73" s="495"/>
      <c r="K73" s="495"/>
      <c r="L73" s="495"/>
      <c r="M73" s="495"/>
      <c r="N73" s="495"/>
      <c r="O73" s="380" t="s">
        <v>145</v>
      </c>
      <c r="P73" s="419"/>
      <c r="Q73" s="402" t="s">
        <v>145</v>
      </c>
      <c r="R73" s="420"/>
      <c r="T73" s="389"/>
      <c r="U73" s="391"/>
      <c r="V73" s="391"/>
      <c r="W73" s="391"/>
      <c r="X73" s="391"/>
      <c r="Y73" s="388"/>
      <c r="AA73" s="214"/>
      <c r="AB73" s="102"/>
      <c r="AC73" s="102" t="s">
        <v>164</v>
      </c>
      <c r="AE73" s="102"/>
      <c r="AF73" s="366">
        <f>+STDEV(AF16:AF45)</f>
        <v>2.320098520075633</v>
      </c>
      <c r="AG73" s="366" t="e">
        <f t="shared" ref="AG73:AH73" si="102">+STDEV(AG16:AG45)</f>
        <v>#DIV/0!</v>
      </c>
      <c r="AH73" s="366" t="e">
        <f t="shared" si="102"/>
        <v>#DIV/0!</v>
      </c>
      <c r="AI73" s="200"/>
      <c r="AJ73" s="204"/>
      <c r="AK73" s="158">
        <f t="shared" si="78"/>
        <v>42360</v>
      </c>
      <c r="AL73" s="159">
        <f t="shared" si="79"/>
        <v>5</v>
      </c>
      <c r="AM73" s="166" t="str">
        <f t="shared" si="80"/>
        <v/>
      </c>
      <c r="AN73" s="163" t="str">
        <f t="shared" si="81"/>
        <v/>
      </c>
      <c r="AO73" s="161" t="str">
        <f t="shared" si="82"/>
        <v/>
      </c>
      <c r="AP73" s="196" t="str">
        <f t="shared" si="92"/>
        <v/>
      </c>
      <c r="AQ73" s="166" t="str">
        <f t="shared" si="83"/>
        <v/>
      </c>
      <c r="AR73" s="163" t="str">
        <f t="shared" si="84"/>
        <v/>
      </c>
      <c r="AS73" s="197" t="str">
        <f t="shared" si="93"/>
        <v/>
      </c>
      <c r="AT73" s="160" t="str">
        <f t="shared" si="94"/>
        <v/>
      </c>
      <c r="AU73" s="166" t="str">
        <f t="shared" si="85"/>
        <v/>
      </c>
      <c r="AV73" s="163" t="str">
        <f t="shared" si="86"/>
        <v/>
      </c>
      <c r="AW73" s="197" t="str">
        <f t="shared" si="95"/>
        <v/>
      </c>
      <c r="AX73" s="160" t="str">
        <f t="shared" si="96"/>
        <v/>
      </c>
      <c r="AY73" s="166" t="str">
        <f t="shared" si="87"/>
        <v/>
      </c>
      <c r="AZ73" s="163" t="str">
        <f t="shared" si="88"/>
        <v/>
      </c>
      <c r="BA73" s="163" t="str">
        <f t="shared" si="97"/>
        <v/>
      </c>
      <c r="BB73" s="160" t="str">
        <f t="shared" si="98"/>
        <v/>
      </c>
      <c r="BC73" s="166" t="str">
        <f t="shared" si="89"/>
        <v/>
      </c>
      <c r="BD73" s="163" t="str">
        <f t="shared" si="90"/>
        <v/>
      </c>
      <c r="BE73" s="163" t="str">
        <f t="shared" si="99"/>
        <v/>
      </c>
      <c r="BF73" s="160" t="str">
        <f>+IF(AND(BC73=2,P20=12),+S20,"")</f>
        <v/>
      </c>
      <c r="BG73" s="46"/>
      <c r="BH73" s="84"/>
      <c r="BI73" s="55"/>
    </row>
    <row r="74" spans="3:61" ht="21.75" customHeight="1" thickTop="1" thickBot="1" x14ac:dyDescent="0.3">
      <c r="C74" s="34"/>
      <c r="D74" s="111" t="s">
        <v>156</v>
      </c>
      <c r="O74" s="421" t="s">
        <v>146</v>
      </c>
      <c r="P74" s="422"/>
      <c r="Q74" s="423" t="s">
        <v>146</v>
      </c>
      <c r="R74" s="424"/>
      <c r="S74" s="111" t="s">
        <v>59</v>
      </c>
      <c r="T74" s="111"/>
      <c r="AA74" s="215"/>
      <c r="AC74" s="57" t="s">
        <v>165</v>
      </c>
      <c r="AF74" s="368">
        <f>+STDEV(AF48:AF57)</f>
        <v>0.82865352631040801</v>
      </c>
      <c r="AG74" s="368" t="e">
        <f t="shared" ref="AG74:AH74" si="103">+STDEV(AG48:AG57)</f>
        <v>#DIV/0!</v>
      </c>
      <c r="AH74" s="368" t="e">
        <f t="shared" si="103"/>
        <v>#DIV/0!</v>
      </c>
      <c r="AJ74" s="204"/>
      <c r="AK74" s="158">
        <f t="shared" si="78"/>
        <v>42360</v>
      </c>
      <c r="AL74" s="159">
        <f t="shared" si="79"/>
        <v>6</v>
      </c>
      <c r="AM74" s="166" t="str">
        <f t="shared" si="80"/>
        <v/>
      </c>
      <c r="AN74" s="163" t="str">
        <f t="shared" si="81"/>
        <v/>
      </c>
      <c r="AO74" s="161" t="str">
        <f t="shared" si="82"/>
        <v/>
      </c>
      <c r="AP74" s="196" t="str">
        <f t="shared" si="92"/>
        <v/>
      </c>
      <c r="AQ74" s="166" t="str">
        <f t="shared" si="83"/>
        <v/>
      </c>
      <c r="AR74" s="163" t="str">
        <f t="shared" si="84"/>
        <v/>
      </c>
      <c r="AS74" s="197" t="str">
        <f t="shared" si="93"/>
        <v/>
      </c>
      <c r="AT74" s="160" t="str">
        <f t="shared" si="94"/>
        <v/>
      </c>
      <c r="AU74" s="166" t="str">
        <f t="shared" si="85"/>
        <v/>
      </c>
      <c r="AV74" s="163" t="str">
        <f t="shared" si="86"/>
        <v/>
      </c>
      <c r="AW74" s="197" t="str">
        <f t="shared" si="95"/>
        <v/>
      </c>
      <c r="AX74" s="160" t="str">
        <f t="shared" si="96"/>
        <v/>
      </c>
      <c r="AY74" s="166" t="str">
        <f t="shared" si="87"/>
        <v/>
      </c>
      <c r="AZ74" s="163" t="str">
        <f t="shared" si="88"/>
        <v/>
      </c>
      <c r="BA74" s="163" t="str">
        <f t="shared" si="97"/>
        <v/>
      </c>
      <c r="BB74" s="160" t="str">
        <f t="shared" si="98"/>
        <v/>
      </c>
      <c r="BC74" s="166" t="str">
        <f t="shared" si="89"/>
        <v/>
      </c>
      <c r="BD74" s="163" t="str">
        <f t="shared" si="90"/>
        <v/>
      </c>
      <c r="BE74" s="163" t="str">
        <f t="shared" si="99"/>
        <v/>
      </c>
      <c r="BF74" s="160" t="str">
        <f t="shared" si="100"/>
        <v/>
      </c>
      <c r="BG74" s="46"/>
      <c r="BH74" s="84"/>
      <c r="BI74" s="55"/>
    </row>
    <row r="75" spans="3:61" ht="27.75" thickTop="1" thickBot="1" x14ac:dyDescent="0.3">
      <c r="C75" s="34"/>
      <c r="D75" s="544" t="str">
        <f>IF(AND($K$8="",$K$9=""),"",+IF($K$8="X","QC Proctor 1",""))</f>
        <v>QC Proctor 1</v>
      </c>
      <c r="E75" s="545"/>
      <c r="F75" s="545"/>
      <c r="G75" s="545"/>
      <c r="H75" s="545"/>
      <c r="I75" s="545"/>
      <c r="J75" s="545" t="str">
        <f>IF(AND($K$8="",$K$9=""),"",+IF($K$8="X","QA Proctor 1",""))</f>
        <v>QA Proctor 1</v>
      </c>
      <c r="K75" s="545"/>
      <c r="L75" s="545"/>
      <c r="M75" s="545"/>
      <c r="N75" s="545"/>
      <c r="O75" s="553"/>
      <c r="P75" s="406"/>
      <c r="S75" s="478" t="str">
        <f>IF(AND($K$8="",$K$9=""),"",+IF($K$8="X","QC Proctor 3",""))</f>
        <v>QC Proctor 3</v>
      </c>
      <c r="T75" s="479"/>
      <c r="U75" s="479"/>
      <c r="V75" s="479"/>
      <c r="W75" s="479"/>
      <c r="X75" s="479"/>
      <c r="Y75" s="429"/>
      <c r="Z75" s="66"/>
      <c r="AA75" s="214"/>
      <c r="AK75" s="158">
        <f t="shared" si="78"/>
        <v>42361</v>
      </c>
      <c r="AL75" s="159">
        <f t="shared" si="79"/>
        <v>7</v>
      </c>
      <c r="AM75" s="166" t="str">
        <f t="shared" si="80"/>
        <v/>
      </c>
      <c r="AN75" s="163" t="str">
        <f t="shared" si="81"/>
        <v/>
      </c>
      <c r="AO75" s="161" t="str">
        <f t="shared" si="82"/>
        <v/>
      </c>
      <c r="AP75" s="196" t="str">
        <f t="shared" si="92"/>
        <v/>
      </c>
      <c r="AQ75" s="166" t="str">
        <f t="shared" si="83"/>
        <v/>
      </c>
      <c r="AR75" s="163" t="str">
        <f t="shared" si="84"/>
        <v/>
      </c>
      <c r="AS75" s="197" t="str">
        <f t="shared" si="93"/>
        <v/>
      </c>
      <c r="AT75" s="160" t="str">
        <f t="shared" si="94"/>
        <v/>
      </c>
      <c r="AU75" s="166" t="str">
        <f t="shared" si="85"/>
        <v/>
      </c>
      <c r="AV75" s="163" t="str">
        <f t="shared" si="86"/>
        <v/>
      </c>
      <c r="AW75" s="197" t="str">
        <f t="shared" si="95"/>
        <v/>
      </c>
      <c r="AX75" s="160" t="str">
        <f t="shared" si="96"/>
        <v/>
      </c>
      <c r="AY75" s="166" t="str">
        <f t="shared" si="87"/>
        <v/>
      </c>
      <c r="AZ75" s="163" t="str">
        <f t="shared" si="88"/>
        <v/>
      </c>
      <c r="BA75" s="163" t="str">
        <f t="shared" si="97"/>
        <v/>
      </c>
      <c r="BB75" s="160" t="str">
        <f t="shared" si="98"/>
        <v/>
      </c>
      <c r="BC75" s="166" t="str">
        <f t="shared" si="89"/>
        <v/>
      </c>
      <c r="BD75" s="163" t="str">
        <f t="shared" si="90"/>
        <v/>
      </c>
      <c r="BE75" s="163" t="str">
        <f t="shared" si="99"/>
        <v/>
      </c>
      <c r="BF75" s="160" t="str">
        <f t="shared" si="100"/>
        <v/>
      </c>
      <c r="BG75" s="46"/>
      <c r="BH75" s="84"/>
      <c r="BI75" s="55"/>
    </row>
    <row r="76" spans="3:61" ht="36" customHeight="1" thickTop="1" thickBot="1" x14ac:dyDescent="0.3">
      <c r="C76" s="34"/>
      <c r="D76" s="549" t="str">
        <f>IF($K$9="X","QC check for Reported and Calculated Density Correlation","QC Check for correlation of Counts to Density")</f>
        <v>QC Check for correlation of Counts to Density</v>
      </c>
      <c r="E76" s="477"/>
      <c r="F76" s="477"/>
      <c r="G76" s="477"/>
      <c r="H76" s="477"/>
      <c r="I76" s="477"/>
      <c r="J76" s="477" t="str">
        <f>IF($K$9="X","QC check for Reported and Calculated Density Correlation","QC Check for correlation of Counts to Density")</f>
        <v>QC Check for correlation of Counts to Density</v>
      </c>
      <c r="K76" s="477"/>
      <c r="L76" s="477"/>
      <c r="M76" s="477"/>
      <c r="N76" s="477"/>
      <c r="O76" s="546"/>
      <c r="P76" s="343"/>
      <c r="R76" s="216"/>
      <c r="S76" s="490" t="str">
        <f>IF($K$9="X","","QC Check for correlation of Counts to Density")</f>
        <v>QC Check for correlation of Counts to Density</v>
      </c>
      <c r="T76" s="491"/>
      <c r="U76" s="491"/>
      <c r="V76" s="491"/>
      <c r="W76" s="491"/>
      <c r="X76" s="491"/>
      <c r="Y76" s="430"/>
      <c r="Z76" s="11"/>
      <c r="AA76" s="122"/>
      <c r="AC76" s="57" t="s">
        <v>163</v>
      </c>
      <c r="AF76" s="365">
        <f>+AF73/(AF46)^0.5</f>
        <v>0.62007241183459161</v>
      </c>
      <c r="AG76" s="365" t="e">
        <f t="shared" ref="AG76:AH76" si="104">+AG73/(AG46)^0.5</f>
        <v>#DIV/0!</v>
      </c>
      <c r="AH76" s="365" t="e">
        <f t="shared" si="104"/>
        <v>#DIV/0!</v>
      </c>
      <c r="AJ76" s="217"/>
      <c r="AK76" s="158">
        <f t="shared" si="78"/>
        <v>42361</v>
      </c>
      <c r="AL76" s="159">
        <f t="shared" si="79"/>
        <v>8</v>
      </c>
      <c r="AM76" s="166" t="str">
        <f t="shared" si="80"/>
        <v/>
      </c>
      <c r="AN76" s="163" t="str">
        <f t="shared" si="81"/>
        <v/>
      </c>
      <c r="AO76" s="161" t="str">
        <f t="shared" si="82"/>
        <v/>
      </c>
      <c r="AP76" s="196" t="str">
        <f t="shared" si="92"/>
        <v/>
      </c>
      <c r="AQ76" s="166" t="str">
        <f t="shared" si="83"/>
        <v/>
      </c>
      <c r="AR76" s="163" t="str">
        <f t="shared" si="84"/>
        <v/>
      </c>
      <c r="AS76" s="197" t="str">
        <f t="shared" si="93"/>
        <v/>
      </c>
      <c r="AT76" s="160" t="str">
        <f t="shared" si="94"/>
        <v/>
      </c>
      <c r="AU76" s="166" t="str">
        <f t="shared" si="85"/>
        <v/>
      </c>
      <c r="AV76" s="163" t="str">
        <f t="shared" si="86"/>
        <v/>
      </c>
      <c r="AW76" s="197" t="str">
        <f t="shared" si="95"/>
        <v/>
      </c>
      <c r="AX76" s="160" t="str">
        <f t="shared" si="96"/>
        <v/>
      </c>
      <c r="AY76" s="166" t="str">
        <f t="shared" si="87"/>
        <v/>
      </c>
      <c r="AZ76" s="163" t="str">
        <f t="shared" si="88"/>
        <v/>
      </c>
      <c r="BA76" s="163" t="str">
        <f t="shared" si="97"/>
        <v/>
      </c>
      <c r="BB76" s="160" t="str">
        <f t="shared" si="98"/>
        <v/>
      </c>
      <c r="BC76" s="166" t="str">
        <f t="shared" si="89"/>
        <v/>
      </c>
      <c r="BD76" s="163" t="str">
        <f t="shared" si="90"/>
        <v/>
      </c>
      <c r="BE76" s="163" t="str">
        <f t="shared" si="99"/>
        <v/>
      </c>
      <c r="BF76" s="160" t="str">
        <f t="shared" si="100"/>
        <v/>
      </c>
      <c r="BG76" s="46"/>
      <c r="BH76" s="84"/>
      <c r="BI76" s="55"/>
    </row>
    <row r="77" spans="3:61" ht="19.5" customHeight="1" thickTop="1" thickBot="1" x14ac:dyDescent="0.3">
      <c r="C77" s="34"/>
      <c r="D77" s="551" t="s">
        <v>56</v>
      </c>
      <c r="E77" s="477" t="s">
        <v>57</v>
      </c>
      <c r="F77" s="477" t="s">
        <v>58</v>
      </c>
      <c r="G77" s="550" t="s">
        <v>56</v>
      </c>
      <c r="H77" s="477" t="s">
        <v>57</v>
      </c>
      <c r="I77" s="477" t="s">
        <v>58</v>
      </c>
      <c r="J77" s="550" t="s">
        <v>56</v>
      </c>
      <c r="K77" s="477" t="s">
        <v>57</v>
      </c>
      <c r="L77" s="477" t="s">
        <v>58</v>
      </c>
      <c r="M77" s="550" t="s">
        <v>56</v>
      </c>
      <c r="N77" s="477" t="s">
        <v>57</v>
      </c>
      <c r="O77" s="546" t="s">
        <v>58</v>
      </c>
      <c r="R77" s="216"/>
      <c r="S77" s="551" t="s">
        <v>56</v>
      </c>
      <c r="T77" s="483" t="s">
        <v>57</v>
      </c>
      <c r="U77" s="477" t="s">
        <v>58</v>
      </c>
      <c r="V77" s="481" t="s">
        <v>56</v>
      </c>
      <c r="W77" s="483" t="s">
        <v>57</v>
      </c>
      <c r="X77" s="546" t="s">
        <v>58</v>
      </c>
      <c r="Z77" s="67"/>
      <c r="AA77" s="31"/>
      <c r="AC77" s="57" t="s">
        <v>166</v>
      </c>
      <c r="AF77" s="365">
        <f>+AF58/(AF74)^0.5</f>
        <v>4.3941360562707894</v>
      </c>
      <c r="AG77" s="365" t="e">
        <f t="shared" ref="AG77:AH77" si="105">+AG58/(AG74)^0.5</f>
        <v>#DIV/0!</v>
      </c>
      <c r="AH77" s="365" t="e">
        <f t="shared" si="105"/>
        <v>#DIV/0!</v>
      </c>
      <c r="AK77" s="158">
        <f t="shared" si="78"/>
        <v>42361</v>
      </c>
      <c r="AL77" s="159">
        <f t="shared" si="79"/>
        <v>9</v>
      </c>
      <c r="AM77" s="166" t="str">
        <f t="shared" si="80"/>
        <v/>
      </c>
      <c r="AN77" s="163" t="str">
        <f t="shared" si="81"/>
        <v/>
      </c>
      <c r="AO77" s="161" t="str">
        <f t="shared" si="82"/>
        <v/>
      </c>
      <c r="AP77" s="196" t="str">
        <f t="shared" si="92"/>
        <v/>
      </c>
      <c r="AQ77" s="166" t="str">
        <f t="shared" si="83"/>
        <v/>
      </c>
      <c r="AR77" s="163" t="str">
        <f t="shared" si="84"/>
        <v/>
      </c>
      <c r="AS77" s="197" t="str">
        <f t="shared" si="93"/>
        <v/>
      </c>
      <c r="AT77" s="160" t="str">
        <f t="shared" si="94"/>
        <v/>
      </c>
      <c r="AU77" s="166" t="str">
        <f t="shared" si="85"/>
        <v/>
      </c>
      <c r="AV77" s="163" t="str">
        <f t="shared" si="86"/>
        <v/>
      </c>
      <c r="AW77" s="197" t="str">
        <f t="shared" si="95"/>
        <v/>
      </c>
      <c r="AX77" s="160" t="str">
        <f t="shared" si="96"/>
        <v/>
      </c>
      <c r="AY77" s="166" t="str">
        <f t="shared" si="87"/>
        <v/>
      </c>
      <c r="AZ77" s="163" t="str">
        <f t="shared" si="88"/>
        <v/>
      </c>
      <c r="BA77" s="163" t="str">
        <f t="shared" si="97"/>
        <v/>
      </c>
      <c r="BB77" s="160" t="str">
        <f t="shared" si="98"/>
        <v/>
      </c>
      <c r="BC77" s="166" t="str">
        <f t="shared" si="89"/>
        <v/>
      </c>
      <c r="BD77" s="163" t="str">
        <f t="shared" si="90"/>
        <v/>
      </c>
      <c r="BE77" s="163" t="str">
        <f t="shared" si="99"/>
        <v/>
      </c>
      <c r="BF77" s="160" t="str">
        <f t="shared" si="100"/>
        <v/>
      </c>
      <c r="BG77" s="46"/>
      <c r="BH77" s="84"/>
      <c r="BI77" s="55"/>
    </row>
    <row r="78" spans="3:61" ht="18" customHeight="1" thickTop="1" thickBot="1" x14ac:dyDescent="0.3">
      <c r="C78" s="34"/>
      <c r="D78" s="551"/>
      <c r="E78" s="477"/>
      <c r="F78" s="477"/>
      <c r="G78" s="550"/>
      <c r="H78" s="477"/>
      <c r="I78" s="477"/>
      <c r="J78" s="550"/>
      <c r="K78" s="477"/>
      <c r="L78" s="477"/>
      <c r="M78" s="550"/>
      <c r="N78" s="477"/>
      <c r="O78" s="546"/>
      <c r="R78" s="216"/>
      <c r="S78" s="551"/>
      <c r="T78" s="484"/>
      <c r="U78" s="477"/>
      <c r="V78" s="482"/>
      <c r="W78" s="484"/>
      <c r="X78" s="546"/>
      <c r="Z78" s="19"/>
      <c r="AA78" s="31"/>
      <c r="AK78" s="158">
        <f t="shared" si="78"/>
        <v>42361</v>
      </c>
      <c r="AL78" s="159">
        <f t="shared" si="79"/>
        <v>10</v>
      </c>
      <c r="AM78" s="166" t="str">
        <f t="shared" si="80"/>
        <v/>
      </c>
      <c r="AN78" s="163" t="str">
        <f t="shared" si="81"/>
        <v/>
      </c>
      <c r="AO78" s="161" t="str">
        <f t="shared" si="82"/>
        <v/>
      </c>
      <c r="AP78" s="196" t="str">
        <f t="shared" si="92"/>
        <v/>
      </c>
      <c r="AQ78" s="166" t="str">
        <f t="shared" si="83"/>
        <v/>
      </c>
      <c r="AR78" s="163" t="str">
        <f t="shared" si="84"/>
        <v/>
      </c>
      <c r="AS78" s="197" t="str">
        <f t="shared" si="93"/>
        <v/>
      </c>
      <c r="AT78" s="160" t="str">
        <f t="shared" si="94"/>
        <v/>
      </c>
      <c r="AU78" s="166" t="str">
        <f t="shared" si="85"/>
        <v/>
      </c>
      <c r="AV78" s="163" t="str">
        <f t="shared" si="86"/>
        <v/>
      </c>
      <c r="AW78" s="197" t="str">
        <f t="shared" si="95"/>
        <v/>
      </c>
      <c r="AX78" s="160" t="str">
        <f t="shared" si="96"/>
        <v/>
      </c>
      <c r="AY78" s="166" t="str">
        <f t="shared" si="87"/>
        <v/>
      </c>
      <c r="AZ78" s="163" t="str">
        <f t="shared" si="88"/>
        <v/>
      </c>
      <c r="BA78" s="163" t="str">
        <f t="shared" si="97"/>
        <v/>
      </c>
      <c r="BB78" s="160" t="str">
        <f t="shared" si="98"/>
        <v/>
      </c>
      <c r="BC78" s="166" t="str">
        <f t="shared" si="89"/>
        <v/>
      </c>
      <c r="BD78" s="163" t="str">
        <f t="shared" si="90"/>
        <v/>
      </c>
      <c r="BE78" s="163" t="str">
        <f t="shared" si="99"/>
        <v/>
      </c>
      <c r="BF78" s="160" t="str">
        <f t="shared" si="100"/>
        <v/>
      </c>
      <c r="BG78" s="46"/>
      <c r="BH78" s="84"/>
      <c r="BI78" s="55"/>
    </row>
    <row r="79" spans="3:61" ht="19.5" thickTop="1" thickBot="1" x14ac:dyDescent="0.3">
      <c r="C79" s="34"/>
      <c r="D79" s="425">
        <f>+IF($K$9="x",0,4)</f>
        <v>4</v>
      </c>
      <c r="E79" s="405" t="str">
        <f>IF($K$8="X",AO$46,IF(COUNT(D103:D132)&lt;3,"N/A",+D$134))</f>
        <v>N/A</v>
      </c>
      <c r="F79" s="404" t="str">
        <f>+IF(OR(E79="N/A",E79=""),"",IF(E79&lt;0.98,"FAIL","PASS"))</f>
        <v/>
      </c>
      <c r="G79" s="426">
        <f>+IF($K$9="x",1.5,10)</f>
        <v>10</v>
      </c>
      <c r="H79" s="405" t="str">
        <f>IF($K$8="X",BA46,IF(COUNT(J103:J132)&lt;3,"N/A",+J$134))</f>
        <v>N/A</v>
      </c>
      <c r="I79" s="404" t="str">
        <f>+IF(OR(H79="N/A",H79=""),"",IF(H79&lt;0.98,"FAIL","PASS"))</f>
        <v/>
      </c>
      <c r="J79" s="426">
        <f>+IF($K$9="x",3,4)</f>
        <v>4</v>
      </c>
      <c r="K79" s="405" t="str">
        <f>IF($K$8="X",AO$62,IF(COUNT(P103:P132)&lt;3,"N/A",+P$134))</f>
        <v>N/A</v>
      </c>
      <c r="L79" s="404" t="str">
        <f>+IF(OR(K79="N/A",K79=""),"",IF(K79&lt;0.98,"FAIL","PASS"))</f>
        <v/>
      </c>
      <c r="M79" s="426">
        <f>+IF($K$9="x","",10)</f>
        <v>10</v>
      </c>
      <c r="N79" s="405" t="str">
        <f>IF($K$8="X",BA$62,IF(COUNT(V103:V132)&lt;3,"N/A",+V$134))</f>
        <v>N/A</v>
      </c>
      <c r="O79" s="396" t="str">
        <f>+IF(OR(N79="N/A",N79=""),"",IF(N79&lt;0.98,"FAIL","PASS"))</f>
        <v/>
      </c>
      <c r="R79" s="216"/>
      <c r="S79" s="387">
        <v>4</v>
      </c>
      <c r="T79" s="405" t="str">
        <f>IF($K$8="X",AO$154,IF(COUNT(AO124:AO153)&lt;3,"N/A",+AO$154))</f>
        <v>N/A</v>
      </c>
      <c r="U79" s="404" t="str">
        <f>+IF(T79="N/A","",IF(T79&lt;0.98,"FAIL","PASS"))</f>
        <v/>
      </c>
      <c r="V79" s="114">
        <v>10</v>
      </c>
      <c r="W79" s="386" t="str">
        <f>+BA154</f>
        <v>N/A</v>
      </c>
      <c r="X79" s="396" t="str">
        <f>+IF(W79="N/A","",IF(W79&lt;0.98,"FAIL","PASS"))</f>
        <v/>
      </c>
      <c r="Z79" s="90"/>
      <c r="AA79" s="18"/>
      <c r="AK79" s="158">
        <f t="shared" si="78"/>
        <v>42361</v>
      </c>
      <c r="AL79" s="159">
        <f t="shared" si="79"/>
        <v>11</v>
      </c>
      <c r="AM79" s="166" t="str">
        <f t="shared" si="80"/>
        <v/>
      </c>
      <c r="AN79" s="163" t="str">
        <f t="shared" si="81"/>
        <v/>
      </c>
      <c r="AO79" s="161" t="str">
        <f t="shared" si="82"/>
        <v/>
      </c>
      <c r="AP79" s="196" t="str">
        <f t="shared" si="92"/>
        <v/>
      </c>
      <c r="AQ79" s="166" t="str">
        <f t="shared" si="83"/>
        <v/>
      </c>
      <c r="AR79" s="163" t="str">
        <f t="shared" si="84"/>
        <v/>
      </c>
      <c r="AS79" s="197" t="str">
        <f t="shared" si="93"/>
        <v/>
      </c>
      <c r="AT79" s="160" t="str">
        <f t="shared" si="94"/>
        <v/>
      </c>
      <c r="AU79" s="166" t="str">
        <f t="shared" si="85"/>
        <v/>
      </c>
      <c r="AV79" s="163" t="str">
        <f t="shared" si="86"/>
        <v/>
      </c>
      <c r="AW79" s="197" t="str">
        <f t="shared" si="95"/>
        <v/>
      </c>
      <c r="AX79" s="160" t="str">
        <f t="shared" si="96"/>
        <v/>
      </c>
      <c r="AY79" s="166" t="str">
        <f t="shared" si="87"/>
        <v/>
      </c>
      <c r="AZ79" s="163" t="str">
        <f t="shared" si="88"/>
        <v/>
      </c>
      <c r="BA79" s="163" t="str">
        <f t="shared" si="97"/>
        <v/>
      </c>
      <c r="BB79" s="160" t="str">
        <f t="shared" si="98"/>
        <v/>
      </c>
      <c r="BC79" s="166" t="str">
        <f t="shared" si="89"/>
        <v/>
      </c>
      <c r="BD79" s="163" t="str">
        <f t="shared" si="90"/>
        <v/>
      </c>
      <c r="BE79" s="163" t="str">
        <f t="shared" si="99"/>
        <v/>
      </c>
      <c r="BF79" s="160" t="str">
        <f t="shared" si="100"/>
        <v/>
      </c>
      <c r="BG79" s="46"/>
      <c r="BH79" s="84"/>
      <c r="BI79" s="55"/>
    </row>
    <row r="80" spans="3:61" ht="19.5" thickTop="1" thickBot="1" x14ac:dyDescent="0.3">
      <c r="C80" s="34"/>
      <c r="D80" s="425">
        <f>+IF($K$9="x",0.5,6)</f>
        <v>6</v>
      </c>
      <c r="E80" s="405" t="str">
        <f>IF($K$8="X",AS$46,IF(COUNT(D104:D133)&lt;3,"N/A",+D$134))</f>
        <v>N/A</v>
      </c>
      <c r="F80" s="404" t="str">
        <f t="shared" ref="F80:F81" si="106">+IF(OR(E80="N/A",E80=""),"",IF(E80&lt;0.98,"FAIL","PASS"))</f>
        <v/>
      </c>
      <c r="G80" s="426">
        <f>+IF($K$9="x",2,12)</f>
        <v>12</v>
      </c>
      <c r="H80" s="405" t="str">
        <f>IF($K$8="X",BE46,IF(COUNT(J104:J133)&lt;3,"N/A",+J$134))</f>
        <v>N/A</v>
      </c>
      <c r="I80" s="404" t="str">
        <f t="shared" ref="I80:I81" si="107">+IF(OR(H80="N/A",H80=""),"",IF(H80&lt;0.98,"FAIL","PASS"))</f>
        <v/>
      </c>
      <c r="J80" s="426">
        <f>+IF($K$9="x",3.5,6)</f>
        <v>6</v>
      </c>
      <c r="K80" s="405" t="str">
        <f>IF($K$8="X",AS$62,IF(COUNT(P104:P133)&lt;3,"N/A",+P$134))</f>
        <v>N/A</v>
      </c>
      <c r="L80" s="404" t="str">
        <f t="shared" ref="L80:L81" si="108">+IF(OR(K80="N/A",K80=""),"",IF(K80&lt;0.98,"FAIL","PASS"))</f>
        <v/>
      </c>
      <c r="M80" s="426">
        <f>+IF($K$9="x","",12)</f>
        <v>12</v>
      </c>
      <c r="N80" s="405" t="str">
        <f>IF($K$8="X",BE$62,IF(COUNT(V104:V133)&lt;3,"N/A",+V$134))</f>
        <v>N/A</v>
      </c>
      <c r="O80" s="396" t="str">
        <f t="shared" ref="O80:O81" si="109">+IF(OR(N80="N/A",N80=""),"",IF(N80&lt;0.98,"FAIL","PASS"))</f>
        <v/>
      </c>
      <c r="R80" s="216"/>
      <c r="S80" s="387">
        <v>6</v>
      </c>
      <c r="T80" s="405" t="str">
        <f>IF($K$8="X",AO$154,IF(COUNT(Z104:Z133)&lt;3,"N/A",+Z$134))</f>
        <v>N/A</v>
      </c>
      <c r="U80" s="404" t="str">
        <f>+IF(T80="N/A","",IF(T80&lt;0.98,"FAIL","PASS"))</f>
        <v/>
      </c>
      <c r="V80" s="114">
        <v>12</v>
      </c>
      <c r="W80" s="386" t="str">
        <f>+BE154</f>
        <v>N/A</v>
      </c>
      <c r="X80" s="396" t="str">
        <f>+IF(W80="N/A","",IF(W80&lt;0.98,"FAIL","PASS"))</f>
        <v/>
      </c>
      <c r="Z80" s="90"/>
      <c r="AA80" s="31"/>
      <c r="AC80" s="57" t="s">
        <v>167</v>
      </c>
      <c r="AF80" s="368">
        <f>+(AF76^2+AF77^2)^0.5</f>
        <v>4.4376707265115298</v>
      </c>
      <c r="AG80" s="368" t="e">
        <f t="shared" ref="AG80:AH80" si="110">+(AG76^2+AG77^2)^0.5</f>
        <v>#DIV/0!</v>
      </c>
      <c r="AH80" s="368" t="e">
        <f t="shared" si="110"/>
        <v>#DIV/0!</v>
      </c>
      <c r="AK80" s="158">
        <f t="shared" si="78"/>
        <v>42361</v>
      </c>
      <c r="AL80" s="159">
        <f t="shared" si="79"/>
        <v>12</v>
      </c>
      <c r="AM80" s="166" t="str">
        <f t="shared" si="80"/>
        <v/>
      </c>
      <c r="AN80" s="163" t="str">
        <f t="shared" si="81"/>
        <v/>
      </c>
      <c r="AO80" s="161" t="str">
        <f t="shared" si="82"/>
        <v/>
      </c>
      <c r="AP80" s="196" t="str">
        <f t="shared" si="92"/>
        <v/>
      </c>
      <c r="AQ80" s="166" t="str">
        <f t="shared" si="83"/>
        <v/>
      </c>
      <c r="AR80" s="163" t="str">
        <f t="shared" si="84"/>
        <v/>
      </c>
      <c r="AS80" s="197" t="str">
        <f t="shared" si="93"/>
        <v/>
      </c>
      <c r="AT80" s="160" t="str">
        <f t="shared" si="94"/>
        <v/>
      </c>
      <c r="AU80" s="166" t="str">
        <f t="shared" si="85"/>
        <v/>
      </c>
      <c r="AV80" s="163" t="str">
        <f t="shared" si="86"/>
        <v/>
      </c>
      <c r="AW80" s="197" t="str">
        <f t="shared" si="95"/>
        <v/>
      </c>
      <c r="AX80" s="160" t="str">
        <f t="shared" si="96"/>
        <v/>
      </c>
      <c r="AY80" s="166" t="str">
        <f t="shared" si="87"/>
        <v/>
      </c>
      <c r="AZ80" s="163" t="str">
        <f t="shared" si="88"/>
        <v/>
      </c>
      <c r="BA80" s="163" t="str">
        <f t="shared" si="97"/>
        <v/>
      </c>
      <c r="BB80" s="160" t="str">
        <f t="shared" si="98"/>
        <v/>
      </c>
      <c r="BC80" s="166" t="str">
        <f t="shared" si="89"/>
        <v/>
      </c>
      <c r="BD80" s="163" t="str">
        <f t="shared" si="90"/>
        <v/>
      </c>
      <c r="BE80" s="163" t="str">
        <f t="shared" si="99"/>
        <v/>
      </c>
      <c r="BF80" s="160" t="str">
        <f t="shared" si="100"/>
        <v/>
      </c>
      <c r="BG80" s="46"/>
      <c r="BH80" s="84"/>
      <c r="BI80" s="55"/>
    </row>
    <row r="81" spans="3:61" ht="19.5" thickTop="1" thickBot="1" x14ac:dyDescent="0.3">
      <c r="C81" s="34"/>
      <c r="D81" s="395">
        <f>+IF($K$9="x",1,8)</f>
        <v>8</v>
      </c>
      <c r="E81" s="401">
        <f>IF($K$8="X",AW$46,IF(COUNT(D105:D134)&lt;3,"N/A",+D$134))</f>
        <v>1.5353751748388366E-2</v>
      </c>
      <c r="F81" s="400" t="str">
        <f t="shared" si="106"/>
        <v>FAIL</v>
      </c>
      <c r="G81" s="403" t="str">
        <f>+IF($K$9="x",2.5,"")</f>
        <v/>
      </c>
      <c r="H81" s="401" t="str">
        <f t="shared" ref="H81" si="111">IF($K$8="X",BA48,IF(COUNT(J105:J134)&lt;3,"N/A",+J$134))</f>
        <v/>
      </c>
      <c r="I81" s="400" t="str">
        <f t="shared" si="107"/>
        <v/>
      </c>
      <c r="J81" s="403">
        <f>+IF($K$9="x",4,8)</f>
        <v>8</v>
      </c>
      <c r="K81" s="401">
        <f>IF($K$8="X",AW$62,IF(COUNT(P105:P134)&lt;3,"N/A",+P$134))</f>
        <v>0.99999397596409612</v>
      </c>
      <c r="L81" s="400" t="str">
        <f t="shared" si="108"/>
        <v>PASS</v>
      </c>
      <c r="M81" s="403"/>
      <c r="N81" s="401" t="str">
        <f t="shared" ref="N81" si="112">IF($K$8="X",BA$62,IF(COUNT(V105:V134)&lt;3,"N/A",+V$134))</f>
        <v>N/A</v>
      </c>
      <c r="O81" s="393" t="str">
        <f t="shared" si="109"/>
        <v/>
      </c>
      <c r="R81" s="216"/>
      <c r="S81" s="385">
        <v>8</v>
      </c>
      <c r="T81" s="384" t="str">
        <f>+AW154</f>
        <v>N/A</v>
      </c>
      <c r="U81" s="400" t="str">
        <f>+IF(T81="N/A","",IF(T81&lt;0.98,"FAIL","PASS"))</f>
        <v/>
      </c>
      <c r="V81" s="394"/>
      <c r="W81" s="384"/>
      <c r="X81" s="383"/>
      <c r="Z81" s="90"/>
      <c r="AA81" s="31"/>
      <c r="AK81" s="158">
        <f t="shared" si="78"/>
        <v>42361</v>
      </c>
      <c r="AL81" s="159">
        <f t="shared" si="79"/>
        <v>13</v>
      </c>
      <c r="AM81" s="166" t="str">
        <f t="shared" si="80"/>
        <v/>
      </c>
      <c r="AN81" s="163" t="str">
        <f t="shared" si="81"/>
        <v/>
      </c>
      <c r="AO81" s="161" t="str">
        <f t="shared" si="82"/>
        <v/>
      </c>
      <c r="AP81" s="196" t="str">
        <f t="shared" si="92"/>
        <v/>
      </c>
      <c r="AQ81" s="166" t="str">
        <f t="shared" si="83"/>
        <v/>
      </c>
      <c r="AR81" s="163" t="str">
        <f t="shared" si="84"/>
        <v/>
      </c>
      <c r="AS81" s="197" t="str">
        <f t="shared" si="93"/>
        <v/>
      </c>
      <c r="AT81" s="160" t="str">
        <f t="shared" si="94"/>
        <v/>
      </c>
      <c r="AU81" s="166" t="str">
        <f t="shared" si="85"/>
        <v/>
      </c>
      <c r="AV81" s="163" t="str">
        <f t="shared" si="86"/>
        <v/>
      </c>
      <c r="AW81" s="197" t="str">
        <f t="shared" si="95"/>
        <v/>
      </c>
      <c r="AX81" s="160" t="str">
        <f t="shared" si="96"/>
        <v/>
      </c>
      <c r="AY81" s="166" t="str">
        <f t="shared" si="87"/>
        <v/>
      </c>
      <c r="AZ81" s="163" t="str">
        <f t="shared" si="88"/>
        <v/>
      </c>
      <c r="BA81" s="163" t="str">
        <f t="shared" si="97"/>
        <v/>
      </c>
      <c r="BB81" s="160" t="str">
        <f t="shared" si="98"/>
        <v/>
      </c>
      <c r="BC81" s="166" t="str">
        <f t="shared" si="89"/>
        <v/>
      </c>
      <c r="BD81" s="163" t="str">
        <f t="shared" si="90"/>
        <v/>
      </c>
      <c r="BE81" s="163" t="str">
        <f t="shared" si="99"/>
        <v/>
      </c>
      <c r="BF81" s="160" t="str">
        <f t="shared" si="100"/>
        <v/>
      </c>
      <c r="BG81" s="46"/>
      <c r="BH81" s="84"/>
      <c r="BI81" s="55"/>
    </row>
    <row r="82" spans="3:61" ht="19.5" thickTop="1" thickBot="1" x14ac:dyDescent="0.3">
      <c r="C82" s="34"/>
      <c r="Z82" s="90"/>
      <c r="AA82" s="31"/>
      <c r="AB82" s="18"/>
      <c r="AC82" s="18" t="s">
        <v>169</v>
      </c>
      <c r="AD82" s="18"/>
      <c r="AE82" s="18"/>
      <c r="AF82" s="18">
        <f>+(AF70-AF71)/AF80</f>
        <v>0.40239900519118382</v>
      </c>
      <c r="AG82" s="18" t="e">
        <f t="shared" ref="AG82:AH82" si="113">+(AG70-AG71)/AG80</f>
        <v>#DIV/0!</v>
      </c>
      <c r="AH82" s="18" t="e">
        <f t="shared" si="113"/>
        <v>#DIV/0!</v>
      </c>
      <c r="AI82" s="237"/>
      <c r="AK82" s="158">
        <f t="shared" si="78"/>
        <v>42361</v>
      </c>
      <c r="AL82" s="159">
        <f t="shared" si="79"/>
        <v>14</v>
      </c>
      <c r="AM82" s="166" t="str">
        <f t="shared" si="80"/>
        <v/>
      </c>
      <c r="AN82" s="163" t="str">
        <f t="shared" si="81"/>
        <v/>
      </c>
      <c r="AO82" s="161" t="str">
        <f t="shared" si="82"/>
        <v/>
      </c>
      <c r="AP82" s="196" t="str">
        <f t="shared" si="92"/>
        <v/>
      </c>
      <c r="AQ82" s="166" t="str">
        <f t="shared" si="83"/>
        <v/>
      </c>
      <c r="AR82" s="163" t="str">
        <f t="shared" si="84"/>
        <v/>
      </c>
      <c r="AS82" s="197" t="str">
        <f t="shared" si="93"/>
        <v/>
      </c>
      <c r="AT82" s="160" t="str">
        <f t="shared" si="94"/>
        <v/>
      </c>
      <c r="AU82" s="166" t="str">
        <f t="shared" si="85"/>
        <v/>
      </c>
      <c r="AV82" s="163" t="str">
        <f t="shared" si="86"/>
        <v/>
      </c>
      <c r="AW82" s="197" t="str">
        <f t="shared" si="95"/>
        <v/>
      </c>
      <c r="AX82" s="160" t="str">
        <f t="shared" si="96"/>
        <v/>
      </c>
      <c r="AY82" s="166" t="str">
        <f t="shared" si="87"/>
        <v/>
      </c>
      <c r="AZ82" s="163" t="str">
        <f t="shared" si="88"/>
        <v/>
      </c>
      <c r="BA82" s="163" t="str">
        <f t="shared" si="97"/>
        <v/>
      </c>
      <c r="BB82" s="160" t="str">
        <f t="shared" si="98"/>
        <v/>
      </c>
      <c r="BC82" s="166" t="str">
        <f t="shared" si="89"/>
        <v/>
      </c>
      <c r="BD82" s="163" t="str">
        <f t="shared" si="90"/>
        <v/>
      </c>
      <c r="BE82" s="163" t="str">
        <f t="shared" si="99"/>
        <v/>
      </c>
      <c r="BF82" s="160" t="str">
        <f t="shared" si="100"/>
        <v/>
      </c>
      <c r="BG82" s="46"/>
      <c r="BH82" s="84"/>
      <c r="BI82" s="55"/>
    </row>
    <row r="83" spans="3:61" ht="36.75" customHeight="1" thickTop="1" thickBot="1" x14ac:dyDescent="0.3">
      <c r="C83" s="34"/>
      <c r="Z83" s="90"/>
      <c r="AA83" s="31"/>
      <c r="AK83" s="158" t="str">
        <f t="shared" si="78"/>
        <v/>
      </c>
      <c r="AL83" s="159">
        <f t="shared" si="79"/>
        <v>15</v>
      </c>
      <c r="AM83" s="166" t="str">
        <f t="shared" si="80"/>
        <v/>
      </c>
      <c r="AN83" s="163" t="str">
        <f t="shared" si="81"/>
        <v/>
      </c>
      <c r="AO83" s="161" t="str">
        <f t="shared" si="82"/>
        <v/>
      </c>
      <c r="AP83" s="196" t="str">
        <f t="shared" si="92"/>
        <v/>
      </c>
      <c r="AQ83" s="166" t="str">
        <f t="shared" si="83"/>
        <v/>
      </c>
      <c r="AR83" s="163" t="str">
        <f t="shared" si="84"/>
        <v/>
      </c>
      <c r="AS83" s="197" t="str">
        <f t="shared" si="93"/>
        <v/>
      </c>
      <c r="AT83" s="160" t="str">
        <f t="shared" si="94"/>
        <v/>
      </c>
      <c r="AU83" s="166" t="str">
        <f t="shared" si="85"/>
        <v/>
      </c>
      <c r="AV83" s="163" t="str">
        <f t="shared" si="86"/>
        <v/>
      </c>
      <c r="AW83" s="197" t="str">
        <f t="shared" si="95"/>
        <v/>
      </c>
      <c r="AX83" s="160" t="str">
        <f t="shared" si="96"/>
        <v/>
      </c>
      <c r="AY83" s="166" t="str">
        <f t="shared" si="87"/>
        <v/>
      </c>
      <c r="AZ83" s="163" t="str">
        <f t="shared" si="88"/>
        <v/>
      </c>
      <c r="BA83" s="163" t="str">
        <f t="shared" si="97"/>
        <v/>
      </c>
      <c r="BB83" s="160" t="str">
        <f t="shared" si="98"/>
        <v/>
      </c>
      <c r="BC83" s="166" t="str">
        <f t="shared" si="89"/>
        <v/>
      </c>
      <c r="BD83" s="163" t="str">
        <f t="shared" si="90"/>
        <v/>
      </c>
      <c r="BE83" s="163" t="str">
        <f t="shared" si="99"/>
        <v/>
      </c>
      <c r="BF83" s="160" t="str">
        <f t="shared" si="100"/>
        <v/>
      </c>
      <c r="BG83" s="46"/>
      <c r="BH83" s="84"/>
      <c r="BI83" s="55"/>
    </row>
    <row r="84" spans="3:61" ht="36" customHeight="1" thickTop="1" thickBot="1" x14ac:dyDescent="0.3">
      <c r="C84" s="34"/>
      <c r="D84" s="544" t="str">
        <f>IF(AND($K$8="",$K$9=""),"",+IF($K$8="X","QC Proctor 2",""))</f>
        <v>QC Proctor 2</v>
      </c>
      <c r="E84" s="545"/>
      <c r="F84" s="545"/>
      <c r="G84" s="545"/>
      <c r="H84" s="545"/>
      <c r="I84" s="545"/>
      <c r="J84" s="545" t="str">
        <f>IF(AND($K$8="",$K$9=""),"",+IF($K$8="X","QA Proctor 2",""))</f>
        <v>QA Proctor 2</v>
      </c>
      <c r="K84" s="545"/>
      <c r="L84" s="545"/>
      <c r="M84" s="545"/>
      <c r="N84" s="545"/>
      <c r="O84" s="553"/>
      <c r="P84" s="406"/>
      <c r="S84" s="478" t="str">
        <f>IF(AND($K$8="",$K$9=""),"",+IF($K$8="X","QA Proctor 3",""))</f>
        <v>QA Proctor 3</v>
      </c>
      <c r="T84" s="479"/>
      <c r="U84" s="479"/>
      <c r="V84" s="479"/>
      <c r="W84" s="479"/>
      <c r="X84" s="480"/>
      <c r="Y84" s="429"/>
      <c r="Z84" s="90"/>
      <c r="AA84" s="31"/>
      <c r="AK84" s="158" t="str">
        <f t="shared" si="78"/>
        <v/>
      </c>
      <c r="AL84" s="159">
        <f t="shared" si="79"/>
        <v>16</v>
      </c>
      <c r="AM84" s="166" t="str">
        <f t="shared" si="80"/>
        <v/>
      </c>
      <c r="AN84" s="163" t="str">
        <f t="shared" si="81"/>
        <v/>
      </c>
      <c r="AO84" s="161" t="str">
        <f t="shared" si="82"/>
        <v/>
      </c>
      <c r="AP84" s="196" t="str">
        <f t="shared" si="92"/>
        <v/>
      </c>
      <c r="AQ84" s="166" t="str">
        <f t="shared" si="83"/>
        <v/>
      </c>
      <c r="AR84" s="163" t="str">
        <f t="shared" si="84"/>
        <v/>
      </c>
      <c r="AS84" s="197" t="str">
        <f t="shared" si="93"/>
        <v/>
      </c>
      <c r="AT84" s="160" t="str">
        <f t="shared" si="94"/>
        <v/>
      </c>
      <c r="AU84" s="166" t="str">
        <f t="shared" si="85"/>
        <v/>
      </c>
      <c r="AV84" s="163" t="str">
        <f t="shared" si="86"/>
        <v/>
      </c>
      <c r="AW84" s="197" t="str">
        <f t="shared" si="95"/>
        <v/>
      </c>
      <c r="AX84" s="160" t="str">
        <f t="shared" si="96"/>
        <v/>
      </c>
      <c r="AY84" s="166" t="str">
        <f t="shared" si="87"/>
        <v/>
      </c>
      <c r="AZ84" s="163" t="str">
        <f t="shared" si="88"/>
        <v/>
      </c>
      <c r="BA84" s="163" t="str">
        <f t="shared" si="97"/>
        <v/>
      </c>
      <c r="BB84" s="160" t="str">
        <f t="shared" si="98"/>
        <v/>
      </c>
      <c r="BC84" s="166" t="str">
        <f t="shared" si="89"/>
        <v/>
      </c>
      <c r="BD84" s="163" t="str">
        <f t="shared" si="90"/>
        <v/>
      </c>
      <c r="BE84" s="163" t="str">
        <f>+IF(AK84="","",IF(AND(BC84=2,P31=12),+Q31/VLOOKUP($AK84,$T$69:$U$73,2),""))</f>
        <v/>
      </c>
      <c r="BF84" s="160" t="str">
        <f t="shared" si="100"/>
        <v/>
      </c>
      <c r="BG84" s="46"/>
      <c r="BH84" s="84"/>
      <c r="BI84" s="55"/>
    </row>
    <row r="85" spans="3:61" ht="22.5" customHeight="1" thickTop="1" thickBot="1" x14ac:dyDescent="0.3">
      <c r="C85" s="34"/>
      <c r="D85" s="549" t="str">
        <f>IF($K$9="X","QC check for Reported and Calculated Density Correlation","QC Check for correlation of Counts to Density")</f>
        <v>QC Check for correlation of Counts to Density</v>
      </c>
      <c r="E85" s="477"/>
      <c r="F85" s="477"/>
      <c r="G85" s="477"/>
      <c r="H85" s="477"/>
      <c r="I85" s="477"/>
      <c r="J85" s="477" t="str">
        <f>IF($K$9="X","QC check for Reported and Calculated Density Correlation","QC Check for correlation of Counts to Density")</f>
        <v>QC Check for correlation of Counts to Density</v>
      </c>
      <c r="K85" s="477"/>
      <c r="L85" s="477"/>
      <c r="M85" s="477"/>
      <c r="N85" s="477"/>
      <c r="O85" s="546"/>
      <c r="P85" s="343"/>
      <c r="S85" s="427" t="str">
        <f>IF($K$9="X","","QC Check for correlation of Counts to Density")</f>
        <v>QC Check for correlation of Counts to Density</v>
      </c>
      <c r="T85" s="428"/>
      <c r="U85" s="428"/>
      <c r="V85" s="428"/>
      <c r="W85" s="428"/>
      <c r="X85" s="428"/>
      <c r="Y85" s="430"/>
      <c r="Z85" s="90"/>
      <c r="AA85" s="31"/>
      <c r="AK85" s="158" t="str">
        <f t="shared" si="78"/>
        <v/>
      </c>
      <c r="AL85" s="159">
        <f t="shared" si="79"/>
        <v>17</v>
      </c>
      <c r="AM85" s="166" t="str">
        <f t="shared" si="80"/>
        <v/>
      </c>
      <c r="AN85" s="163" t="str">
        <f t="shared" si="81"/>
        <v/>
      </c>
      <c r="AO85" s="161" t="str">
        <f t="shared" si="82"/>
        <v/>
      </c>
      <c r="AP85" s="196" t="str">
        <f t="shared" si="92"/>
        <v/>
      </c>
      <c r="AQ85" s="166" t="str">
        <f t="shared" si="83"/>
        <v/>
      </c>
      <c r="AR85" s="163" t="str">
        <f t="shared" si="84"/>
        <v/>
      </c>
      <c r="AS85" s="197" t="str">
        <f t="shared" si="93"/>
        <v/>
      </c>
      <c r="AT85" s="160" t="str">
        <f t="shared" si="94"/>
        <v/>
      </c>
      <c r="AU85" s="166" t="str">
        <f t="shared" si="85"/>
        <v/>
      </c>
      <c r="AV85" s="163" t="str">
        <f t="shared" si="86"/>
        <v/>
      </c>
      <c r="AW85" s="197" t="str">
        <f t="shared" si="95"/>
        <v/>
      </c>
      <c r="AX85" s="160" t="str">
        <f t="shared" si="96"/>
        <v/>
      </c>
      <c r="AY85" s="166" t="str">
        <f t="shared" si="87"/>
        <v/>
      </c>
      <c r="AZ85" s="163" t="str">
        <f t="shared" si="88"/>
        <v/>
      </c>
      <c r="BA85" s="163" t="str">
        <f t="shared" si="97"/>
        <v/>
      </c>
      <c r="BB85" s="160" t="str">
        <f t="shared" si="98"/>
        <v/>
      </c>
      <c r="BC85" s="166" t="str">
        <f t="shared" si="89"/>
        <v/>
      </c>
      <c r="BD85" s="163" t="str">
        <f t="shared" si="90"/>
        <v/>
      </c>
      <c r="BE85" s="163" t="str">
        <f t="shared" si="99"/>
        <v/>
      </c>
      <c r="BF85" s="160" t="str">
        <f t="shared" si="100"/>
        <v/>
      </c>
      <c r="BG85" s="46"/>
      <c r="BH85" s="84"/>
      <c r="BI85" s="55"/>
    </row>
    <row r="86" spans="3:61" ht="37.5" thickTop="1" thickBot="1" x14ac:dyDescent="0.3">
      <c r="C86" s="34"/>
      <c r="D86" s="399" t="s">
        <v>56</v>
      </c>
      <c r="E86" s="113" t="s">
        <v>57</v>
      </c>
      <c r="F86" s="113" t="s">
        <v>58</v>
      </c>
      <c r="G86" s="330" t="s">
        <v>56</v>
      </c>
      <c r="H86" s="113" t="s">
        <v>57</v>
      </c>
      <c r="I86" s="113" t="s">
        <v>58</v>
      </c>
      <c r="J86" s="330" t="s">
        <v>56</v>
      </c>
      <c r="K86" s="113" t="s">
        <v>57</v>
      </c>
      <c r="L86" s="113" t="s">
        <v>58</v>
      </c>
      <c r="M86" s="330" t="s">
        <v>56</v>
      </c>
      <c r="N86" s="113" t="s">
        <v>57</v>
      </c>
      <c r="O86" s="398" t="s">
        <v>58</v>
      </c>
      <c r="S86" s="399" t="s">
        <v>56</v>
      </c>
      <c r="T86" s="113" t="s">
        <v>57</v>
      </c>
      <c r="U86" s="113" t="s">
        <v>58</v>
      </c>
      <c r="V86" s="330" t="s">
        <v>56</v>
      </c>
      <c r="W86" s="113" t="s">
        <v>57</v>
      </c>
      <c r="X86" s="398" t="s">
        <v>58</v>
      </c>
      <c r="Z86" s="90"/>
      <c r="AA86" s="31"/>
      <c r="AK86" s="158" t="str">
        <f t="shared" si="78"/>
        <v/>
      </c>
      <c r="AL86" s="159">
        <f t="shared" si="79"/>
        <v>18</v>
      </c>
      <c r="AM86" s="166" t="str">
        <f t="shared" si="80"/>
        <v/>
      </c>
      <c r="AN86" s="163" t="str">
        <f t="shared" si="81"/>
        <v/>
      </c>
      <c r="AO86" s="161" t="str">
        <f t="shared" si="82"/>
        <v/>
      </c>
      <c r="AP86" s="196" t="str">
        <f t="shared" si="92"/>
        <v/>
      </c>
      <c r="AQ86" s="166" t="str">
        <f t="shared" si="83"/>
        <v/>
      </c>
      <c r="AR86" s="163" t="str">
        <f t="shared" si="84"/>
        <v/>
      </c>
      <c r="AS86" s="197" t="str">
        <f t="shared" si="93"/>
        <v/>
      </c>
      <c r="AT86" s="160" t="str">
        <f t="shared" si="94"/>
        <v/>
      </c>
      <c r="AU86" s="166" t="str">
        <f t="shared" si="85"/>
        <v/>
      </c>
      <c r="AV86" s="163" t="str">
        <f t="shared" si="86"/>
        <v/>
      </c>
      <c r="AW86" s="197" t="str">
        <f t="shared" si="95"/>
        <v/>
      </c>
      <c r="AX86" s="160" t="str">
        <f t="shared" si="96"/>
        <v/>
      </c>
      <c r="AY86" s="166" t="str">
        <f t="shared" si="87"/>
        <v/>
      </c>
      <c r="AZ86" s="163" t="str">
        <f t="shared" si="88"/>
        <v/>
      </c>
      <c r="BA86" s="163" t="str">
        <f t="shared" si="97"/>
        <v/>
      </c>
      <c r="BB86" s="160" t="str">
        <f t="shared" si="98"/>
        <v/>
      </c>
      <c r="BC86" s="166" t="str">
        <f t="shared" si="89"/>
        <v/>
      </c>
      <c r="BD86" s="163" t="str">
        <f t="shared" si="90"/>
        <v/>
      </c>
      <c r="BE86" s="163" t="str">
        <f t="shared" si="99"/>
        <v/>
      </c>
      <c r="BF86" s="160" t="str">
        <f t="shared" si="100"/>
        <v/>
      </c>
      <c r="BG86" s="46"/>
      <c r="BH86" s="84"/>
      <c r="BI86" s="55"/>
    </row>
    <row r="87" spans="3:61" ht="19.5" thickTop="1" thickBot="1" x14ac:dyDescent="0.3">
      <c r="C87" s="34"/>
      <c r="D87" s="399"/>
      <c r="E87" s="113"/>
      <c r="F87" s="113"/>
      <c r="G87" s="330"/>
      <c r="H87" s="113"/>
      <c r="I87" s="113"/>
      <c r="J87" s="330"/>
      <c r="K87" s="113"/>
      <c r="L87" s="113"/>
      <c r="M87" s="330"/>
      <c r="N87" s="113"/>
      <c r="O87" s="398"/>
      <c r="S87" s="399"/>
      <c r="T87" s="113"/>
      <c r="U87" s="113"/>
      <c r="V87" s="330"/>
      <c r="W87" s="113"/>
      <c r="X87" s="398"/>
      <c r="Z87" s="90"/>
      <c r="AA87" s="31"/>
      <c r="AK87" s="158" t="str">
        <f t="shared" si="78"/>
        <v/>
      </c>
      <c r="AL87" s="159">
        <f t="shared" si="79"/>
        <v>19</v>
      </c>
      <c r="AM87" s="166" t="str">
        <f t="shared" si="80"/>
        <v/>
      </c>
      <c r="AN87" s="163" t="str">
        <f t="shared" si="81"/>
        <v/>
      </c>
      <c r="AO87" s="161" t="str">
        <f t="shared" si="82"/>
        <v/>
      </c>
      <c r="AP87" s="196" t="str">
        <f t="shared" si="92"/>
        <v/>
      </c>
      <c r="AQ87" s="166" t="str">
        <f t="shared" si="83"/>
        <v/>
      </c>
      <c r="AR87" s="163" t="str">
        <f t="shared" si="84"/>
        <v/>
      </c>
      <c r="AS87" s="197" t="str">
        <f t="shared" si="93"/>
        <v/>
      </c>
      <c r="AT87" s="160" t="str">
        <f t="shared" si="94"/>
        <v/>
      </c>
      <c r="AU87" s="166" t="str">
        <f t="shared" si="85"/>
        <v/>
      </c>
      <c r="AV87" s="163" t="str">
        <f t="shared" si="86"/>
        <v/>
      </c>
      <c r="AW87" s="197" t="str">
        <f t="shared" si="95"/>
        <v/>
      </c>
      <c r="AX87" s="160" t="str">
        <f t="shared" si="96"/>
        <v/>
      </c>
      <c r="AY87" s="166" t="str">
        <f t="shared" si="87"/>
        <v/>
      </c>
      <c r="AZ87" s="163" t="str">
        <f t="shared" si="88"/>
        <v/>
      </c>
      <c r="BA87" s="163" t="str">
        <f t="shared" si="97"/>
        <v/>
      </c>
      <c r="BB87" s="160" t="str">
        <f t="shared" si="98"/>
        <v/>
      </c>
      <c r="BC87" s="166" t="str">
        <f t="shared" si="89"/>
        <v/>
      </c>
      <c r="BD87" s="163" t="str">
        <f t="shared" si="90"/>
        <v/>
      </c>
      <c r="BE87" s="163" t="str">
        <f t="shared" si="99"/>
        <v/>
      </c>
      <c r="BF87" s="160" t="str">
        <f t="shared" si="100"/>
        <v/>
      </c>
      <c r="BG87" s="46"/>
      <c r="BH87" s="84"/>
      <c r="BI87" s="55"/>
    </row>
    <row r="88" spans="3:61" ht="19.5" thickTop="1" thickBot="1" x14ac:dyDescent="0.3">
      <c r="C88" s="34"/>
      <c r="D88" s="397">
        <f>+IF($K$9="x",0,4)</f>
        <v>4</v>
      </c>
      <c r="E88" s="405" t="str">
        <f>IF($K$8="X",AO$99,IF(COUNT(D138:D147)&lt;3,"N/A",+D$149))</f>
        <v>N/A</v>
      </c>
      <c r="F88" s="404" t="str">
        <f>+IF(OR(E88="N/A",E88=""),"",IF(E88&lt;0.98,"FAIL","PASS"))</f>
        <v/>
      </c>
      <c r="G88" s="113">
        <f>+IF($K$9="x",1.5,10)</f>
        <v>10</v>
      </c>
      <c r="H88" s="405" t="str">
        <f>IF($K$8="X",BA$99,IF(COUNT(J138:J147)&lt;3,"N/A",+J$149))</f>
        <v>N/A</v>
      </c>
      <c r="I88" s="404" t="str">
        <f>+IF(OR(H88="N/A",H88=""),"",IF(H88&lt;0.98,"FAIL","PASS"))</f>
        <v/>
      </c>
      <c r="J88" s="113">
        <f>+IF($K$9="x",3,4)</f>
        <v>4</v>
      </c>
      <c r="K88" s="405" t="str">
        <f>IF($K$8="X",AO$114,IF(COUNT(P138:P147)&lt;3,"N/A",+P$149))</f>
        <v>N/A</v>
      </c>
      <c r="L88" s="404" t="str">
        <f>+IF(OR(K88="N/A",K88=""),"",IF(K88&lt;0.98,"FAIL","PASS"))</f>
        <v/>
      </c>
      <c r="M88" s="114">
        <f>IF($K$9="X","",10)</f>
        <v>10</v>
      </c>
      <c r="N88" s="405" t="str">
        <f>IF($K$8="X",BA$114,IF(COUNT(R138:R147)&lt;3,"N/A",+R$149))</f>
        <v>N/A</v>
      </c>
      <c r="O88" s="396" t="str">
        <f>+IF(OR(N88="N/A",N88=""),"",IF(N88&lt;0.98,"FAIL","PASS"))</f>
        <v/>
      </c>
      <c r="S88" s="397">
        <v>4</v>
      </c>
      <c r="T88" s="382" t="str">
        <f>+AO169</f>
        <v>N/A</v>
      </c>
      <c r="U88" s="404" t="str">
        <f>+IF(T88="N/A","",IF(T88&lt;0.98,"FAIL","PASS"))</f>
        <v/>
      </c>
      <c r="V88" s="113">
        <v>10</v>
      </c>
      <c r="W88" s="382" t="str">
        <f>+BA169</f>
        <v>N/A</v>
      </c>
      <c r="X88" s="396" t="str">
        <f>+IF(W88="N/A","",IF(W88&lt;0.98,"FAIL","PASS"))</f>
        <v/>
      </c>
      <c r="Z88" s="90"/>
      <c r="AA88" s="31"/>
      <c r="AK88" s="158" t="str">
        <f t="shared" si="78"/>
        <v/>
      </c>
      <c r="AL88" s="159">
        <f t="shared" si="79"/>
        <v>20</v>
      </c>
      <c r="AM88" s="166" t="str">
        <f t="shared" si="80"/>
        <v/>
      </c>
      <c r="AN88" s="163" t="str">
        <f t="shared" si="81"/>
        <v/>
      </c>
      <c r="AO88" s="161" t="str">
        <f t="shared" si="82"/>
        <v/>
      </c>
      <c r="AP88" s="196" t="str">
        <f t="shared" si="92"/>
        <v/>
      </c>
      <c r="AQ88" s="166" t="str">
        <f t="shared" si="83"/>
        <v/>
      </c>
      <c r="AR88" s="163" t="str">
        <f t="shared" si="84"/>
        <v/>
      </c>
      <c r="AS88" s="197" t="str">
        <f t="shared" si="93"/>
        <v/>
      </c>
      <c r="AT88" s="160" t="str">
        <f t="shared" si="94"/>
        <v/>
      </c>
      <c r="AU88" s="166" t="str">
        <f t="shared" si="85"/>
        <v/>
      </c>
      <c r="AV88" s="163" t="str">
        <f t="shared" si="86"/>
        <v/>
      </c>
      <c r="AW88" s="197" t="str">
        <f t="shared" si="95"/>
        <v/>
      </c>
      <c r="AX88" s="160" t="str">
        <f t="shared" si="96"/>
        <v/>
      </c>
      <c r="AY88" s="166" t="str">
        <f t="shared" si="87"/>
        <v/>
      </c>
      <c r="AZ88" s="163" t="str">
        <f t="shared" si="88"/>
        <v/>
      </c>
      <c r="BA88" s="163" t="str">
        <f t="shared" si="97"/>
        <v/>
      </c>
      <c r="BB88" s="160" t="str">
        <f t="shared" si="98"/>
        <v/>
      </c>
      <c r="BC88" s="166" t="str">
        <f t="shared" si="89"/>
        <v/>
      </c>
      <c r="BD88" s="163" t="str">
        <f t="shared" si="90"/>
        <v/>
      </c>
      <c r="BE88" s="163" t="str">
        <f t="shared" si="99"/>
        <v/>
      </c>
      <c r="BF88" s="160" t="str">
        <f t="shared" si="100"/>
        <v/>
      </c>
      <c r="BG88" s="46"/>
      <c r="BH88" s="84"/>
      <c r="BI88" s="55"/>
    </row>
    <row r="89" spans="3:61" ht="19.5" thickTop="1" thickBot="1" x14ac:dyDescent="0.3">
      <c r="C89" s="34"/>
      <c r="D89" s="397">
        <f>+IF($K$9="x",0.5,6)</f>
        <v>6</v>
      </c>
      <c r="E89" s="405" t="str">
        <f>IF($K$8="X",AS$99,IF(COUNT(D139:D148)&lt;3,"N/A",+D$149))</f>
        <v>N/A</v>
      </c>
      <c r="F89" s="404" t="str">
        <f t="shared" ref="F89:F90" si="114">+IF(OR(E89="N/A",E89=""),"",IF(E89&lt;0.98,"FAIL","PASS"))</f>
        <v/>
      </c>
      <c r="G89" s="113">
        <f>+IF($K$9="x",2,12)</f>
        <v>12</v>
      </c>
      <c r="H89" s="405" t="str">
        <f>IF($K$8="X",BE$99,IF(COUNT(J139:J148)&lt;3,"N/A",+J$149))</f>
        <v>N/A</v>
      </c>
      <c r="I89" s="404" t="str">
        <f t="shared" ref="I89:I90" si="115">+IF(OR(H89="N/A",H89=""),"",IF(H89&lt;0.98,"FAIL","PASS"))</f>
        <v/>
      </c>
      <c r="J89" s="113">
        <f>+IF($K$9="x",3.5,6)</f>
        <v>6</v>
      </c>
      <c r="K89" s="405" t="str">
        <f>IF($K$8="X",AS$114,IF(COUNT(P139:P148)&lt;3,"N/A",+P$149))</f>
        <v>N/A</v>
      </c>
      <c r="L89" s="404" t="str">
        <f t="shared" ref="L89:L90" si="116">+IF(OR(K89="N/A",K89=""),"",IF(K89&lt;0.98,"FAIL","PASS"))</f>
        <v/>
      </c>
      <c r="M89" s="114">
        <f>IF($K$9="X","",12)</f>
        <v>12</v>
      </c>
      <c r="N89" s="405" t="str">
        <f>IF($K$8="X",BE$114,IF(COUNT(R139:R148)&lt;3,"N/A",+R$149))</f>
        <v>N/A</v>
      </c>
      <c r="O89" s="396" t="str">
        <f>+IF(N89="N/A","",IF(N89&lt;0.98,"FAIL","PASS"))</f>
        <v/>
      </c>
      <c r="S89" s="397">
        <v>6</v>
      </c>
      <c r="T89" s="382" t="str">
        <f>+AS169</f>
        <v>N/A</v>
      </c>
      <c r="U89" s="404" t="str">
        <f>+IF(T89="N/A","",IF(T89&lt;0.98,"FAIL","PASS"))</f>
        <v/>
      </c>
      <c r="V89" s="113">
        <v>12</v>
      </c>
      <c r="W89" s="382" t="str">
        <f>+BE169</f>
        <v>N/A</v>
      </c>
      <c r="X89" s="396" t="str">
        <f>+IF(W89="N/A","",IF(W89&lt;0.98,"FAIL","PASS"))</f>
        <v/>
      </c>
      <c r="Z89" s="90"/>
      <c r="AA89" s="31"/>
      <c r="AK89" s="158" t="str">
        <f t="shared" si="78"/>
        <v/>
      </c>
      <c r="AL89" s="159">
        <f t="shared" si="79"/>
        <v>21</v>
      </c>
      <c r="AM89" s="166" t="str">
        <f t="shared" si="80"/>
        <v/>
      </c>
      <c r="AN89" s="163" t="str">
        <f t="shared" si="81"/>
        <v/>
      </c>
      <c r="AO89" s="161" t="str">
        <f t="shared" si="82"/>
        <v/>
      </c>
      <c r="AP89" s="196" t="str">
        <f t="shared" si="92"/>
        <v/>
      </c>
      <c r="AQ89" s="166" t="str">
        <f t="shared" si="83"/>
        <v/>
      </c>
      <c r="AR89" s="163" t="str">
        <f t="shared" si="84"/>
        <v/>
      </c>
      <c r="AS89" s="197" t="str">
        <f t="shared" si="93"/>
        <v/>
      </c>
      <c r="AT89" s="160" t="str">
        <f t="shared" si="94"/>
        <v/>
      </c>
      <c r="AU89" s="166" t="str">
        <f t="shared" si="85"/>
        <v/>
      </c>
      <c r="AV89" s="163" t="str">
        <f t="shared" si="86"/>
        <v/>
      </c>
      <c r="AW89" s="197" t="str">
        <f t="shared" si="95"/>
        <v/>
      </c>
      <c r="AX89" s="160" t="str">
        <f t="shared" si="96"/>
        <v/>
      </c>
      <c r="AY89" s="166" t="str">
        <f t="shared" si="87"/>
        <v/>
      </c>
      <c r="AZ89" s="163" t="str">
        <f t="shared" si="88"/>
        <v/>
      </c>
      <c r="BA89" s="163" t="str">
        <f>+IF(AK89="","",IF(AND(AY89=2,P36=10),+Q36/VLOOKUP($AK89,$T$69:$U$73,2),""))</f>
        <v/>
      </c>
      <c r="BB89" s="160" t="str">
        <f t="shared" si="98"/>
        <v/>
      </c>
      <c r="BC89" s="166" t="str">
        <f t="shared" si="89"/>
        <v/>
      </c>
      <c r="BD89" s="163" t="str">
        <f t="shared" si="90"/>
        <v/>
      </c>
      <c r="BE89" s="163" t="str">
        <f t="shared" si="99"/>
        <v/>
      </c>
      <c r="BF89" s="160" t="str">
        <f t="shared" si="100"/>
        <v/>
      </c>
      <c r="BG89" s="46"/>
      <c r="BH89" s="84"/>
      <c r="BI89" s="55"/>
    </row>
    <row r="90" spans="3:61" ht="21" customHeight="1" thickTop="1" thickBot="1" x14ac:dyDescent="0.3">
      <c r="C90" s="34"/>
      <c r="D90" s="395">
        <f>+IF($K$9="x",1,8)</f>
        <v>8</v>
      </c>
      <c r="E90" s="401" t="str">
        <f>IF($K$8="X",AW$99,IF(COUNT(D140:D149)&lt;3,"N/A",+D$149))</f>
        <v>N/A</v>
      </c>
      <c r="F90" s="400" t="str">
        <f t="shared" si="114"/>
        <v/>
      </c>
      <c r="G90" s="403" t="str">
        <f>+IF($K$9="x",2.5,"")</f>
        <v/>
      </c>
      <c r="H90" s="401" t="str">
        <f t="shared" ref="H90" si="117">IF($K$8="X",BA$99,IF(COUNT(J140:J149)&lt;3,"N/A",+J$149))</f>
        <v>N/A</v>
      </c>
      <c r="I90" s="400" t="str">
        <f t="shared" si="115"/>
        <v/>
      </c>
      <c r="J90" s="403">
        <f>+IF($K$9="x",4,8)</f>
        <v>8</v>
      </c>
      <c r="K90" s="401" t="str">
        <f>IF($K$8="X",AW$114,IF(COUNT(P140:P149)&lt;3,"N/A",+P$149))</f>
        <v>N/A</v>
      </c>
      <c r="L90" s="400" t="str">
        <f t="shared" si="116"/>
        <v/>
      </c>
      <c r="M90" s="394"/>
      <c r="N90" s="401" t="str">
        <f t="shared" ref="N90" si="118">IF($K$8="X",BA$114,IF(COUNT(R140:R149)&lt;3,"N/A",+R$149))</f>
        <v>N/A</v>
      </c>
      <c r="O90" s="393"/>
      <c r="S90" s="395">
        <v>8</v>
      </c>
      <c r="T90" s="381" t="str">
        <f>+AW169</f>
        <v>N/A</v>
      </c>
      <c r="U90" s="400" t="str">
        <f>+IF(T90="N/A","",IF(T90&lt;0.98,"FAIL","PASS"))</f>
        <v/>
      </c>
      <c r="V90" s="403"/>
      <c r="W90" s="381"/>
      <c r="X90" s="393"/>
      <c r="Z90" s="90"/>
      <c r="AA90" s="31"/>
      <c r="AB90" s="31"/>
      <c r="AC90" s="31"/>
      <c r="AD90" s="31"/>
      <c r="AE90" s="31"/>
      <c r="AF90" s="31"/>
      <c r="AG90" s="31"/>
      <c r="AK90" s="158" t="str">
        <f t="shared" si="78"/>
        <v/>
      </c>
      <c r="AL90" s="159">
        <f t="shared" si="79"/>
        <v>22</v>
      </c>
      <c r="AM90" s="166" t="str">
        <f t="shared" si="80"/>
        <v/>
      </c>
      <c r="AN90" s="163" t="str">
        <f t="shared" si="81"/>
        <v/>
      </c>
      <c r="AO90" s="161" t="str">
        <f t="shared" si="82"/>
        <v/>
      </c>
      <c r="AP90" s="196" t="str">
        <f t="shared" si="92"/>
        <v/>
      </c>
      <c r="AQ90" s="166" t="str">
        <f t="shared" si="83"/>
        <v/>
      </c>
      <c r="AR90" s="163" t="str">
        <f t="shared" si="84"/>
        <v/>
      </c>
      <c r="AS90" s="197" t="str">
        <f t="shared" si="93"/>
        <v/>
      </c>
      <c r="AT90" s="160" t="str">
        <f t="shared" si="94"/>
        <v/>
      </c>
      <c r="AU90" s="166" t="str">
        <f t="shared" si="85"/>
        <v/>
      </c>
      <c r="AV90" s="163" t="str">
        <f t="shared" si="86"/>
        <v/>
      </c>
      <c r="AW90" s="197" t="str">
        <f t="shared" si="95"/>
        <v/>
      </c>
      <c r="AX90" s="160" t="str">
        <f t="shared" si="96"/>
        <v/>
      </c>
      <c r="AY90" s="166" t="str">
        <f t="shared" si="87"/>
        <v/>
      </c>
      <c r="AZ90" s="163" t="str">
        <f t="shared" si="88"/>
        <v/>
      </c>
      <c r="BA90" s="163" t="str">
        <f t="shared" si="97"/>
        <v/>
      </c>
      <c r="BB90" s="160" t="str">
        <f t="shared" si="98"/>
        <v/>
      </c>
      <c r="BC90" s="166" t="str">
        <f t="shared" si="89"/>
        <v/>
      </c>
      <c r="BD90" s="163" t="str">
        <f t="shared" si="90"/>
        <v/>
      </c>
      <c r="BE90" s="163" t="str">
        <f t="shared" si="99"/>
        <v/>
      </c>
      <c r="BF90" s="160" t="str">
        <f t="shared" si="100"/>
        <v/>
      </c>
      <c r="BG90" s="46"/>
      <c r="BH90" s="84"/>
      <c r="BI90" s="55"/>
    </row>
    <row r="91" spans="3:61" ht="48" customHeight="1" thickTop="1" thickBot="1" x14ac:dyDescent="0.4">
      <c r="C91" s="34"/>
      <c r="D91" s="469" t="s">
        <v>36</v>
      </c>
      <c r="E91" s="469"/>
      <c r="F91" s="468"/>
      <c r="G91" s="468"/>
      <c r="H91" s="468"/>
      <c r="I91" s="468"/>
      <c r="J91" s="468"/>
      <c r="K91" s="468"/>
      <c r="L91" s="468"/>
      <c r="M91" s="468"/>
      <c r="N91" s="468"/>
      <c r="O91" s="468"/>
      <c r="P91" s="468"/>
      <c r="Q91" s="468"/>
      <c r="R91" s="468"/>
      <c r="S91" s="468"/>
      <c r="T91" s="468"/>
      <c r="U91" s="468"/>
      <c r="V91" s="468"/>
      <c r="W91" s="468"/>
      <c r="X91" s="468"/>
      <c r="Y91" s="468"/>
      <c r="Z91" s="90"/>
      <c r="AA91" s="31"/>
      <c r="AB91" s="31"/>
      <c r="AC91" s="31"/>
      <c r="AD91" s="31"/>
      <c r="AE91" s="31"/>
      <c r="AF91" s="31"/>
      <c r="AG91" s="31"/>
      <c r="AK91" s="158" t="str">
        <f t="shared" si="78"/>
        <v/>
      </c>
      <c r="AL91" s="159">
        <f t="shared" si="79"/>
        <v>23</v>
      </c>
      <c r="AM91" s="166" t="str">
        <f t="shared" si="80"/>
        <v/>
      </c>
      <c r="AN91" s="163" t="str">
        <f t="shared" si="81"/>
        <v/>
      </c>
      <c r="AO91" s="161" t="str">
        <f t="shared" si="82"/>
        <v/>
      </c>
      <c r="AP91" s="196" t="str">
        <f>+IF(AND(AM91=2,P38=4),+S38,"")</f>
        <v/>
      </c>
      <c r="AQ91" s="166" t="str">
        <f t="shared" si="83"/>
        <v/>
      </c>
      <c r="AR91" s="163" t="str">
        <f t="shared" si="84"/>
        <v/>
      </c>
      <c r="AS91" s="197" t="str">
        <f t="shared" si="93"/>
        <v/>
      </c>
      <c r="AT91" s="160" t="str">
        <f t="shared" si="94"/>
        <v/>
      </c>
      <c r="AU91" s="166" t="str">
        <f t="shared" si="85"/>
        <v/>
      </c>
      <c r="AV91" s="163" t="str">
        <f t="shared" si="86"/>
        <v/>
      </c>
      <c r="AW91" s="197" t="str">
        <f t="shared" si="95"/>
        <v/>
      </c>
      <c r="AX91" s="160" t="str">
        <f t="shared" si="96"/>
        <v/>
      </c>
      <c r="AY91" s="166" t="str">
        <f t="shared" si="87"/>
        <v/>
      </c>
      <c r="AZ91" s="163" t="str">
        <f t="shared" si="88"/>
        <v/>
      </c>
      <c r="BA91" s="163" t="str">
        <f t="shared" si="97"/>
        <v/>
      </c>
      <c r="BB91" s="160" t="str">
        <f t="shared" si="98"/>
        <v/>
      </c>
      <c r="BC91" s="166" t="str">
        <f t="shared" si="89"/>
        <v/>
      </c>
      <c r="BD91" s="163" t="str">
        <f t="shared" si="90"/>
        <v/>
      </c>
      <c r="BE91" s="163" t="str">
        <f t="shared" si="99"/>
        <v/>
      </c>
      <c r="BF91" s="160" t="str">
        <f t="shared" si="100"/>
        <v/>
      </c>
      <c r="BG91" s="46"/>
      <c r="BH91" s="84"/>
      <c r="BI91" s="55"/>
    </row>
    <row r="92" spans="3:61" ht="19.5" thickTop="1" thickBot="1" x14ac:dyDescent="0.3">
      <c r="C92" s="34"/>
      <c r="D92" s="101"/>
      <c r="E92" s="99"/>
      <c r="F92" s="100"/>
      <c r="G92" s="100"/>
      <c r="H92" s="100"/>
      <c r="I92" s="100"/>
      <c r="J92" s="98"/>
      <c r="K92" s="98"/>
      <c r="L92" s="98"/>
      <c r="M92" s="98"/>
      <c r="N92" s="98"/>
      <c r="O92" s="98"/>
      <c r="Z92" s="90"/>
      <c r="AA92" s="31"/>
      <c r="AB92" s="31"/>
      <c r="AC92" s="31"/>
      <c r="AD92" s="31"/>
      <c r="AE92" s="31"/>
      <c r="AF92" s="31"/>
      <c r="AG92" s="31"/>
      <c r="AK92" s="158" t="str">
        <f t="shared" si="78"/>
        <v/>
      </c>
      <c r="AL92" s="159">
        <f t="shared" si="79"/>
        <v>24</v>
      </c>
      <c r="AM92" s="166" t="str">
        <f t="shared" si="80"/>
        <v/>
      </c>
      <c r="AN92" s="163" t="str">
        <f t="shared" si="81"/>
        <v/>
      </c>
      <c r="AO92" s="161" t="str">
        <f t="shared" si="82"/>
        <v/>
      </c>
      <c r="AP92" s="196" t="str">
        <f t="shared" si="92"/>
        <v/>
      </c>
      <c r="AQ92" s="166" t="str">
        <f t="shared" si="83"/>
        <v/>
      </c>
      <c r="AR92" s="163" t="str">
        <f t="shared" si="84"/>
        <v/>
      </c>
      <c r="AS92" s="197" t="str">
        <f t="shared" si="93"/>
        <v/>
      </c>
      <c r="AT92" s="160" t="str">
        <f t="shared" si="94"/>
        <v/>
      </c>
      <c r="AU92" s="166" t="str">
        <f t="shared" si="85"/>
        <v/>
      </c>
      <c r="AV92" s="163" t="str">
        <f t="shared" si="86"/>
        <v/>
      </c>
      <c r="AW92" s="197" t="str">
        <f t="shared" si="95"/>
        <v/>
      </c>
      <c r="AX92" s="160" t="str">
        <f t="shared" si="96"/>
        <v/>
      </c>
      <c r="AY92" s="166" t="str">
        <f t="shared" si="87"/>
        <v/>
      </c>
      <c r="AZ92" s="163" t="str">
        <f t="shared" si="88"/>
        <v/>
      </c>
      <c r="BA92" s="163" t="str">
        <f t="shared" si="97"/>
        <v/>
      </c>
      <c r="BB92" s="160" t="str">
        <f t="shared" si="98"/>
        <v/>
      </c>
      <c r="BC92" s="166" t="str">
        <f t="shared" si="89"/>
        <v/>
      </c>
      <c r="BD92" s="163" t="str">
        <f t="shared" si="90"/>
        <v/>
      </c>
      <c r="BE92" s="163" t="str">
        <f t="shared" si="99"/>
        <v/>
      </c>
      <c r="BF92" s="160" t="str">
        <f t="shared" si="100"/>
        <v/>
      </c>
      <c r="BG92" s="46"/>
      <c r="BH92" s="84"/>
      <c r="BI92" s="55"/>
    </row>
    <row r="93" spans="3:61" ht="30.75" customHeight="1" thickTop="1" thickBot="1" x14ac:dyDescent="0.3">
      <c r="C93" s="10"/>
      <c r="D93" s="101"/>
      <c r="E93" s="485"/>
      <c r="F93" s="485"/>
      <c r="G93" s="485"/>
      <c r="H93" s="485"/>
      <c r="I93" s="485"/>
      <c r="J93" s="485"/>
      <c r="K93" s="485"/>
      <c r="L93" s="485"/>
      <c r="M93" s="485"/>
      <c r="N93" s="485"/>
      <c r="O93" s="485"/>
      <c r="P93" s="24"/>
      <c r="Q93" s="24"/>
      <c r="R93" s="486" t="str">
        <f>+K5</f>
        <v xml:space="preserve">MASTER </v>
      </c>
      <c r="S93" s="486"/>
      <c r="T93" s="486"/>
      <c r="U93" s="486"/>
      <c r="V93" s="486"/>
      <c r="W93" s="486"/>
      <c r="X93" s="486"/>
      <c r="Z93" s="90"/>
      <c r="AA93" s="31"/>
      <c r="AB93" s="31"/>
      <c r="AC93" s="31"/>
      <c r="AD93" s="31"/>
      <c r="AE93" s="31"/>
      <c r="AF93" s="31"/>
      <c r="AG93" s="31"/>
      <c r="AK93" s="158" t="str">
        <f t="shared" si="78"/>
        <v/>
      </c>
      <c r="AL93" s="159">
        <f t="shared" si="79"/>
        <v>25</v>
      </c>
      <c r="AM93" s="166" t="str">
        <f t="shared" si="80"/>
        <v/>
      </c>
      <c r="AN93" s="163" t="str">
        <f t="shared" si="81"/>
        <v/>
      </c>
      <c r="AO93" s="161" t="str">
        <f t="shared" si="82"/>
        <v/>
      </c>
      <c r="AP93" s="196" t="str">
        <f t="shared" si="92"/>
        <v/>
      </c>
      <c r="AQ93" s="166" t="str">
        <f t="shared" si="83"/>
        <v/>
      </c>
      <c r="AR93" s="163" t="str">
        <f t="shared" si="84"/>
        <v/>
      </c>
      <c r="AS93" s="197" t="str">
        <f t="shared" si="93"/>
        <v/>
      </c>
      <c r="AT93" s="160" t="str">
        <f t="shared" si="94"/>
        <v/>
      </c>
      <c r="AU93" s="166" t="str">
        <f t="shared" si="85"/>
        <v/>
      </c>
      <c r="AV93" s="163" t="str">
        <f t="shared" si="86"/>
        <v/>
      </c>
      <c r="AW93" s="197" t="str">
        <f t="shared" si="95"/>
        <v/>
      </c>
      <c r="AX93" s="160" t="str">
        <f t="shared" si="96"/>
        <v/>
      </c>
      <c r="AY93" s="166" t="str">
        <f t="shared" si="87"/>
        <v/>
      </c>
      <c r="AZ93" s="163" t="str">
        <f t="shared" si="88"/>
        <v/>
      </c>
      <c r="BA93" s="163" t="str">
        <f t="shared" si="97"/>
        <v/>
      </c>
      <c r="BB93" s="160" t="str">
        <f t="shared" si="98"/>
        <v/>
      </c>
      <c r="BC93" s="166" t="str">
        <f t="shared" si="89"/>
        <v/>
      </c>
      <c r="BD93" s="163" t="str">
        <f t="shared" si="90"/>
        <v/>
      </c>
      <c r="BE93" s="163" t="str">
        <f t="shared" si="99"/>
        <v/>
      </c>
      <c r="BF93" s="160" t="str">
        <f t="shared" si="100"/>
        <v/>
      </c>
      <c r="BG93" s="46"/>
      <c r="BH93" s="84"/>
      <c r="BI93" s="55"/>
    </row>
    <row r="94" spans="3:61" ht="19.5" thickTop="1" thickBot="1" x14ac:dyDescent="0.3">
      <c r="C94" s="10"/>
      <c r="D94" s="218"/>
      <c r="E94" s="87" t="s">
        <v>21</v>
      </c>
      <c r="F94" s="107"/>
      <c r="G94" s="88"/>
      <c r="H94" s="88"/>
      <c r="I94" s="107"/>
      <c r="J94" s="87" t="s">
        <v>61</v>
      </c>
      <c r="K94" s="87"/>
      <c r="L94" s="87"/>
      <c r="M94" s="87"/>
      <c r="N94" s="87"/>
      <c r="O94" s="107"/>
      <c r="R94" s="486"/>
      <c r="S94" s="486"/>
      <c r="T94" s="486"/>
      <c r="U94" s="486"/>
      <c r="V94" s="486"/>
      <c r="W94" s="486"/>
      <c r="X94" s="486"/>
      <c r="Z94" s="90"/>
      <c r="AA94" s="31"/>
      <c r="AB94" s="31"/>
      <c r="AC94" s="31"/>
      <c r="AD94" s="31"/>
      <c r="AE94" s="31"/>
      <c r="AF94" s="31"/>
      <c r="AG94" s="31"/>
      <c r="AK94" s="158" t="str">
        <f t="shared" si="78"/>
        <v/>
      </c>
      <c r="AL94" s="159">
        <f t="shared" si="79"/>
        <v>26</v>
      </c>
      <c r="AM94" s="166" t="str">
        <f t="shared" si="80"/>
        <v/>
      </c>
      <c r="AN94" s="163" t="str">
        <f t="shared" si="81"/>
        <v/>
      </c>
      <c r="AO94" s="161" t="str">
        <f t="shared" si="82"/>
        <v/>
      </c>
      <c r="AP94" s="196" t="str">
        <f t="shared" si="92"/>
        <v/>
      </c>
      <c r="AQ94" s="166" t="str">
        <f t="shared" si="83"/>
        <v/>
      </c>
      <c r="AR94" s="163" t="str">
        <f t="shared" si="84"/>
        <v/>
      </c>
      <c r="AS94" s="197" t="str">
        <f t="shared" si="93"/>
        <v/>
      </c>
      <c r="AT94" s="160" t="str">
        <f>+IF(AND(AQ94=2,P41=6),+S41,"")</f>
        <v/>
      </c>
      <c r="AU94" s="166" t="str">
        <f t="shared" si="85"/>
        <v/>
      </c>
      <c r="AV94" s="163" t="str">
        <f t="shared" si="86"/>
        <v/>
      </c>
      <c r="AW94" s="197" t="str">
        <f t="shared" si="95"/>
        <v/>
      </c>
      <c r="AX94" s="160" t="str">
        <f t="shared" si="96"/>
        <v/>
      </c>
      <c r="AY94" s="166" t="str">
        <f t="shared" si="87"/>
        <v/>
      </c>
      <c r="AZ94" s="163" t="str">
        <f t="shared" si="88"/>
        <v/>
      </c>
      <c r="BA94" s="163" t="str">
        <f t="shared" si="97"/>
        <v/>
      </c>
      <c r="BB94" s="160" t="str">
        <f t="shared" si="98"/>
        <v/>
      </c>
      <c r="BC94" s="166" t="str">
        <f t="shared" si="89"/>
        <v/>
      </c>
      <c r="BD94" s="163" t="str">
        <f t="shared" si="90"/>
        <v/>
      </c>
      <c r="BE94" s="163" t="str">
        <f t="shared" si="99"/>
        <v/>
      </c>
      <c r="BF94" s="160" t="str">
        <f t="shared" si="100"/>
        <v/>
      </c>
      <c r="BG94" s="46"/>
      <c r="BH94" s="84"/>
      <c r="BI94" s="55"/>
    </row>
    <row r="95" spans="3:61" ht="19.5" thickTop="1" thickBot="1" x14ac:dyDescent="0.3">
      <c r="C95" s="219" t="s">
        <v>62</v>
      </c>
      <c r="D95" s="94"/>
      <c r="E95" s="101"/>
      <c r="F95" s="102"/>
      <c r="G95" s="24"/>
      <c r="H95" s="24"/>
      <c r="I95" s="24"/>
      <c r="J95" s="24"/>
      <c r="K95" s="24"/>
      <c r="L95" s="24"/>
      <c r="M95" s="250"/>
      <c r="N95" s="250"/>
      <c r="O95" s="24"/>
      <c r="P95" s="24"/>
      <c r="Q95" s="24"/>
      <c r="R95" s="103"/>
      <c r="S95" s="24"/>
      <c r="T95" s="250"/>
      <c r="U95" s="24"/>
      <c r="V95" s="24"/>
      <c r="W95" s="24"/>
      <c r="X95" s="24"/>
      <c r="Y95" s="24"/>
      <c r="Z95" s="90"/>
      <c r="AA95" s="31"/>
      <c r="AB95" s="31"/>
      <c r="AC95" s="31"/>
      <c r="AD95" s="31"/>
      <c r="AE95" s="31"/>
      <c r="AF95" s="31"/>
      <c r="AG95" s="31"/>
      <c r="AK95" s="158" t="str">
        <f t="shared" si="78"/>
        <v/>
      </c>
      <c r="AL95" s="159">
        <f t="shared" si="79"/>
        <v>27</v>
      </c>
      <c r="AM95" s="166" t="str">
        <f t="shared" si="80"/>
        <v/>
      </c>
      <c r="AN95" s="163" t="str">
        <f t="shared" si="81"/>
        <v/>
      </c>
      <c r="AO95" s="161" t="str">
        <f t="shared" si="82"/>
        <v/>
      </c>
      <c r="AP95" s="196" t="str">
        <f t="shared" si="92"/>
        <v/>
      </c>
      <c r="AQ95" s="166" t="str">
        <f t="shared" si="83"/>
        <v/>
      </c>
      <c r="AR95" s="163" t="str">
        <f t="shared" si="84"/>
        <v/>
      </c>
      <c r="AS95" s="197" t="str">
        <f t="shared" si="93"/>
        <v/>
      </c>
      <c r="AT95" s="160" t="str">
        <f t="shared" si="94"/>
        <v/>
      </c>
      <c r="AU95" s="166" t="str">
        <f t="shared" si="85"/>
        <v/>
      </c>
      <c r="AV95" s="163" t="str">
        <f t="shared" si="86"/>
        <v/>
      </c>
      <c r="AW95" s="197" t="str">
        <f t="shared" si="95"/>
        <v/>
      </c>
      <c r="AX95" s="160" t="str">
        <f t="shared" si="96"/>
        <v/>
      </c>
      <c r="AY95" s="166" t="str">
        <f t="shared" si="87"/>
        <v/>
      </c>
      <c r="AZ95" s="163" t="str">
        <f t="shared" si="88"/>
        <v/>
      </c>
      <c r="BA95" s="163" t="str">
        <f t="shared" si="97"/>
        <v/>
      </c>
      <c r="BB95" s="160" t="str">
        <f t="shared" si="98"/>
        <v/>
      </c>
      <c r="BC95" s="166" t="str">
        <f t="shared" si="89"/>
        <v/>
      </c>
      <c r="BD95" s="163" t="str">
        <f t="shared" si="90"/>
        <v/>
      </c>
      <c r="BE95" s="163" t="str">
        <f t="shared" si="99"/>
        <v/>
      </c>
      <c r="BF95" s="160" t="str">
        <f t="shared" si="100"/>
        <v/>
      </c>
      <c r="BG95" s="46"/>
      <c r="BH95" s="84"/>
      <c r="BI95" s="55"/>
    </row>
    <row r="96" spans="3:61" ht="19.5" thickTop="1" thickBot="1" x14ac:dyDescent="0.3">
      <c r="C96" s="89" t="s">
        <v>191</v>
      </c>
      <c r="D96" s="91"/>
      <c r="E96" s="91"/>
      <c r="F96" s="92"/>
      <c r="G96" s="92"/>
      <c r="H96" s="92"/>
      <c r="I96" s="92"/>
      <c r="J96" s="92"/>
      <c r="K96" s="92"/>
      <c r="L96" s="92"/>
      <c r="M96" s="92"/>
      <c r="N96" s="92"/>
      <c r="O96" s="93" t="s">
        <v>25</v>
      </c>
      <c r="P96" s="93"/>
      <c r="Q96" s="93"/>
      <c r="R96" s="21"/>
      <c r="S96" s="21"/>
      <c r="T96" s="248"/>
      <c r="U96" s="21"/>
      <c r="V96" s="21"/>
      <c r="W96" s="21"/>
      <c r="X96" s="21"/>
      <c r="Y96" s="21"/>
      <c r="Z96" s="119"/>
      <c r="AA96" s="31"/>
      <c r="AB96" s="31"/>
      <c r="AC96" s="31"/>
      <c r="AD96" s="31"/>
      <c r="AE96" s="31"/>
      <c r="AF96" s="31"/>
      <c r="AG96" s="31"/>
      <c r="AK96" s="158" t="str">
        <f t="shared" si="78"/>
        <v/>
      </c>
      <c r="AL96" s="159">
        <f t="shared" si="79"/>
        <v>28</v>
      </c>
      <c r="AM96" s="166" t="str">
        <f t="shared" si="80"/>
        <v/>
      </c>
      <c r="AN96" s="163" t="str">
        <f t="shared" si="81"/>
        <v/>
      </c>
      <c r="AO96" s="161" t="str">
        <f t="shared" si="82"/>
        <v/>
      </c>
      <c r="AP96" s="196" t="str">
        <f t="shared" si="92"/>
        <v/>
      </c>
      <c r="AQ96" s="166" t="str">
        <f t="shared" si="83"/>
        <v/>
      </c>
      <c r="AR96" s="163" t="str">
        <f t="shared" si="84"/>
        <v/>
      </c>
      <c r="AS96" s="197" t="str">
        <f t="shared" si="93"/>
        <v/>
      </c>
      <c r="AT96" s="160" t="str">
        <f t="shared" si="94"/>
        <v/>
      </c>
      <c r="AU96" s="166" t="str">
        <f t="shared" si="85"/>
        <v/>
      </c>
      <c r="AV96" s="163" t="str">
        <f t="shared" si="86"/>
        <v/>
      </c>
      <c r="AW96" s="197" t="str">
        <f t="shared" si="95"/>
        <v/>
      </c>
      <c r="AX96" s="160" t="str">
        <f t="shared" si="96"/>
        <v/>
      </c>
      <c r="AY96" s="166" t="str">
        <f t="shared" si="87"/>
        <v/>
      </c>
      <c r="AZ96" s="163" t="str">
        <f t="shared" si="88"/>
        <v/>
      </c>
      <c r="BA96" s="163" t="str">
        <f t="shared" si="97"/>
        <v/>
      </c>
      <c r="BB96" s="160" t="str">
        <f t="shared" si="98"/>
        <v/>
      </c>
      <c r="BC96" s="166" t="str">
        <f t="shared" si="89"/>
        <v/>
      </c>
      <c r="BD96" s="163" t="str">
        <f t="shared" si="90"/>
        <v/>
      </c>
      <c r="BE96" s="163" t="str">
        <f t="shared" si="99"/>
        <v/>
      </c>
      <c r="BF96" s="160" t="str">
        <f t="shared" si="100"/>
        <v/>
      </c>
      <c r="BG96" s="46"/>
      <c r="BH96" s="84"/>
      <c r="BI96" s="55"/>
    </row>
    <row r="97" spans="1:76" ht="27" customHeight="1" thickTop="1" thickBot="1" x14ac:dyDescent="0.3">
      <c r="Z97" s="123"/>
      <c r="AA97" s="31"/>
      <c r="AB97" s="31"/>
      <c r="AC97" s="31"/>
      <c r="AD97" s="31"/>
      <c r="AE97" s="31"/>
      <c r="AF97" s="31"/>
      <c r="AG97" s="31"/>
      <c r="AK97" s="158" t="str">
        <f t="shared" si="78"/>
        <v/>
      </c>
      <c r="AL97" s="159">
        <f t="shared" si="79"/>
        <v>29</v>
      </c>
      <c r="AM97" s="166" t="str">
        <f t="shared" si="80"/>
        <v/>
      </c>
      <c r="AN97" s="163" t="str">
        <f t="shared" si="81"/>
        <v/>
      </c>
      <c r="AO97" s="161" t="str">
        <f t="shared" si="82"/>
        <v/>
      </c>
      <c r="AP97" s="196" t="str">
        <f t="shared" si="92"/>
        <v/>
      </c>
      <c r="AQ97" s="166" t="str">
        <f t="shared" si="83"/>
        <v/>
      </c>
      <c r="AR97" s="163" t="str">
        <f t="shared" si="84"/>
        <v/>
      </c>
      <c r="AS97" s="197" t="str">
        <f t="shared" si="93"/>
        <v/>
      </c>
      <c r="AT97" s="160" t="str">
        <f t="shared" si="94"/>
        <v/>
      </c>
      <c r="AU97" s="166" t="str">
        <f t="shared" si="85"/>
        <v/>
      </c>
      <c r="AV97" s="163" t="str">
        <f t="shared" si="86"/>
        <v/>
      </c>
      <c r="AW97" s="197" t="str">
        <f t="shared" si="95"/>
        <v/>
      </c>
      <c r="AX97" s="160" t="str">
        <f t="shared" si="96"/>
        <v/>
      </c>
      <c r="AY97" s="166" t="str">
        <f t="shared" si="87"/>
        <v/>
      </c>
      <c r="AZ97" s="163" t="str">
        <f t="shared" si="88"/>
        <v/>
      </c>
      <c r="BA97" s="163" t="str">
        <f t="shared" si="97"/>
        <v/>
      </c>
      <c r="BB97" s="160" t="str">
        <f t="shared" si="98"/>
        <v/>
      </c>
      <c r="BC97" s="166" t="str">
        <f t="shared" si="89"/>
        <v/>
      </c>
      <c r="BD97" s="163" t="str">
        <f t="shared" si="90"/>
        <v/>
      </c>
      <c r="BE97" s="163" t="str">
        <f t="shared" si="99"/>
        <v/>
      </c>
      <c r="BF97" s="160" t="str">
        <f t="shared" si="100"/>
        <v/>
      </c>
      <c r="BG97" s="46"/>
      <c r="BH97" s="84"/>
      <c r="BI97" s="55"/>
    </row>
    <row r="98" spans="1:76" ht="19.5" thickTop="1" thickBot="1" x14ac:dyDescent="0.3">
      <c r="X98" s="21"/>
      <c r="Y98" s="21"/>
      <c r="Z98" s="23"/>
      <c r="AA98" s="31"/>
      <c r="AB98" s="31"/>
      <c r="AC98" s="31"/>
      <c r="AD98" s="31"/>
      <c r="AE98" s="31"/>
      <c r="AF98" s="31"/>
      <c r="AG98" s="31"/>
      <c r="AK98" s="158" t="str">
        <f t="shared" si="78"/>
        <v/>
      </c>
      <c r="AL98" s="159">
        <f t="shared" si="79"/>
        <v>30</v>
      </c>
      <c r="AM98" s="166" t="str">
        <f t="shared" si="80"/>
        <v/>
      </c>
      <c r="AN98" s="163" t="str">
        <f t="shared" si="81"/>
        <v/>
      </c>
      <c r="AO98" s="161" t="str">
        <f t="shared" si="82"/>
        <v/>
      </c>
      <c r="AP98" s="196" t="str">
        <f t="shared" si="92"/>
        <v/>
      </c>
      <c r="AQ98" s="166" t="str">
        <f t="shared" si="83"/>
        <v/>
      </c>
      <c r="AR98" s="163" t="str">
        <f t="shared" si="84"/>
        <v/>
      </c>
      <c r="AS98" s="197" t="str">
        <f t="shared" si="93"/>
        <v/>
      </c>
      <c r="AT98" s="160" t="str">
        <f t="shared" si="94"/>
        <v/>
      </c>
      <c r="AU98" s="166" t="str">
        <f t="shared" si="85"/>
        <v/>
      </c>
      <c r="AV98" s="163" t="str">
        <f t="shared" si="86"/>
        <v/>
      </c>
      <c r="AW98" s="197" t="str">
        <f t="shared" si="95"/>
        <v/>
      </c>
      <c r="AX98" s="160" t="str">
        <f t="shared" si="96"/>
        <v/>
      </c>
      <c r="AY98" s="166" t="str">
        <f t="shared" si="87"/>
        <v/>
      </c>
      <c r="AZ98" s="163" t="str">
        <f t="shared" si="88"/>
        <v/>
      </c>
      <c r="BA98" s="163" t="str">
        <f t="shared" si="97"/>
        <v/>
      </c>
      <c r="BB98" s="160" t="str">
        <f t="shared" si="98"/>
        <v/>
      </c>
      <c r="BC98" s="166" t="str">
        <f t="shared" si="89"/>
        <v/>
      </c>
      <c r="BD98" s="163" t="str">
        <f t="shared" si="90"/>
        <v/>
      </c>
      <c r="BE98" s="163" t="str">
        <f t="shared" si="99"/>
        <v/>
      </c>
      <c r="BF98" s="160" t="str">
        <f t="shared" si="100"/>
        <v/>
      </c>
      <c r="BG98" s="46"/>
      <c r="BH98" s="84"/>
      <c r="BI98" s="55"/>
    </row>
    <row r="99" spans="1:76" ht="24.75" customHeight="1" thickTop="1" thickBot="1" x14ac:dyDescent="0.3">
      <c r="D99" s="548"/>
      <c r="E99" s="548"/>
      <c r="F99" s="548"/>
      <c r="G99" s="548"/>
      <c r="H99" s="548"/>
      <c r="I99" s="548"/>
      <c r="J99" s="324"/>
      <c r="K99" s="324"/>
      <c r="L99" s="324"/>
      <c r="M99" s="324"/>
      <c r="N99" s="324"/>
      <c r="O99" s="324"/>
      <c r="P99" s="324"/>
      <c r="Q99" s="324"/>
      <c r="R99" s="324"/>
      <c r="S99" s="324"/>
      <c r="AA99" s="31"/>
      <c r="AB99" s="31"/>
      <c r="AC99" s="31"/>
      <c r="AD99" s="31"/>
      <c r="AE99" s="31"/>
      <c r="AF99" s="31"/>
      <c r="AG99" s="31"/>
      <c r="AL99" s="148">
        <f>+C107</f>
        <v>0</v>
      </c>
      <c r="AM99" s="55"/>
      <c r="AN99" s="46"/>
      <c r="AO99" s="176" t="str">
        <f>+IF(COUNT(AO69:AO98)&lt;3,"N/A",IF(SUM(AO69:AO98)="","",RSQ(AO69:AO98,AP69:AP98)))</f>
        <v>N/A</v>
      </c>
      <c r="AP99" s="177"/>
      <c r="AQ99" s="178"/>
      <c r="AR99" s="46" t="e">
        <f>RSQ(AR75:AR80,AT75:AT80)</f>
        <v>#DIV/0!</v>
      </c>
      <c r="AS99" s="176" t="str">
        <f>+IF(COUNT(AS69:AS98)&lt;3,"N/A",IF(SUM(AS69:AS98)="","",RSQ(AS69:AS98,AT69:AT98)))</f>
        <v>N/A</v>
      </c>
      <c r="AT99" s="46"/>
      <c r="AU99" s="179" t="str">
        <f>+IF($L106="","",$L106)</f>
        <v/>
      </c>
      <c r="AV99" s="46"/>
      <c r="AW99" s="176" t="str">
        <f>+IF(COUNT(AW69:AW98)&lt;3,"N/A",IF(SUM(AW69:AW98)="","",RSQ(AW69:AW98,AX69:AX98)))</f>
        <v>N/A</v>
      </c>
      <c r="AX99" s="46"/>
      <c r="AY99" s="179" t="str">
        <f>+IF($L106="","",$L106)</f>
        <v/>
      </c>
      <c r="AZ99" s="46"/>
      <c r="BA99" s="176" t="str">
        <f>+IF(COUNT(BA69:BA98)&lt;3,"N/A",IF(SUM(BA69:BA98)="","",RSQ(BA69:BA98,BB69:BB98)))</f>
        <v>N/A</v>
      </c>
      <c r="BB99" s="46"/>
      <c r="BC99" s="179" t="str">
        <f>+IF($L106="","",$L106)</f>
        <v/>
      </c>
      <c r="BD99" s="46"/>
      <c r="BE99" s="176" t="str">
        <f>+IF(COUNT(BE69:BE98)&lt;3,"N/A",IF(SUM(BE69:BE98)="","",RSQ(BE69:BE98,BF69:BF98)))</f>
        <v>N/A</v>
      </c>
      <c r="BF99" s="46"/>
      <c r="BG99" s="46"/>
      <c r="BH99" s="53"/>
      <c r="BI99" s="54"/>
    </row>
    <row r="100" spans="1:76" ht="21" customHeight="1" thickTop="1" x14ac:dyDescent="0.25">
      <c r="E100" s="326"/>
      <c r="AA100" s="31"/>
      <c r="AB100" s="31"/>
      <c r="AC100" s="31"/>
      <c r="AD100" s="31"/>
      <c r="AE100" s="31"/>
      <c r="AF100" s="31"/>
      <c r="AG100" s="31"/>
      <c r="AL100" s="55"/>
      <c r="AM100" s="55"/>
      <c r="AN100" s="46"/>
      <c r="AO100" s="220" t="s">
        <v>84</v>
      </c>
      <c r="AP100" s="182"/>
      <c r="AQ100" s="182"/>
      <c r="AR100" s="46"/>
      <c r="AS100" s="47" t="s">
        <v>85</v>
      </c>
      <c r="AT100" s="46"/>
      <c r="AU100" s="46"/>
      <c r="AV100" s="46"/>
      <c r="AW100" s="144" t="s">
        <v>86</v>
      </c>
      <c r="AX100" s="46"/>
      <c r="AY100" s="46"/>
      <c r="AZ100" s="46"/>
      <c r="BA100" s="144" t="s">
        <v>87</v>
      </c>
      <c r="BB100" s="46" t="str">
        <f>+IF(P107=10,+#REF!,"")</f>
        <v/>
      </c>
      <c r="BC100" s="46"/>
      <c r="BD100" s="46"/>
      <c r="BE100" s="144" t="s">
        <v>88</v>
      </c>
      <c r="BF100" s="46"/>
      <c r="BG100" s="46"/>
      <c r="BH100" s="47"/>
      <c r="BI100" s="55"/>
      <c r="BV100" s="24"/>
      <c r="BW100" s="24"/>
    </row>
    <row r="101" spans="1:76" ht="21.75" customHeight="1" x14ac:dyDescent="0.25">
      <c r="AA101" s="31"/>
      <c r="AB101" s="31"/>
      <c r="AC101" s="31"/>
      <c r="AD101" s="31"/>
      <c r="AE101" s="31"/>
      <c r="AF101" s="31"/>
      <c r="AG101" s="31"/>
      <c r="AL101" s="50"/>
      <c r="AM101" s="50"/>
      <c r="AN101" s="46" t="str">
        <f>+IF(P108=4,4,"")</f>
        <v/>
      </c>
      <c r="AO101" s="182"/>
      <c r="AP101" s="182"/>
      <c r="AQ101" s="182"/>
      <c r="AR101" s="46"/>
      <c r="AS101" s="476" t="s">
        <v>70</v>
      </c>
      <c r="AT101" s="476"/>
      <c r="AU101" s="476"/>
      <c r="AV101" s="476"/>
      <c r="AW101" s="476"/>
      <c r="AX101" s="209"/>
      <c r="AY101" s="209"/>
      <c r="AZ101" s="46"/>
      <c r="BA101" s="46" t="str">
        <f>+IF(P108=10,+Q108,"")</f>
        <v/>
      </c>
      <c r="BB101" s="46" t="str">
        <f>+IF(P108=10,+#REF!,"")</f>
        <v/>
      </c>
      <c r="BC101" s="46"/>
      <c r="BD101" s="46"/>
      <c r="BE101" s="46"/>
      <c r="BF101" s="46"/>
      <c r="BG101" s="46"/>
      <c r="BH101" s="55"/>
      <c r="BI101" s="55"/>
      <c r="BV101" s="51"/>
      <c r="BW101" s="51"/>
    </row>
    <row r="102" spans="1:76" s="329" customFormat="1" ht="40.5" customHeight="1" x14ac:dyDescent="0.25">
      <c r="C102" s="327"/>
      <c r="D102" s="330"/>
      <c r="E102" s="330"/>
      <c r="F102" s="330"/>
      <c r="G102" s="330"/>
      <c r="H102" s="330"/>
      <c r="I102" s="330"/>
      <c r="J102" s="330"/>
      <c r="K102" s="330"/>
      <c r="L102" s="330"/>
      <c r="M102" s="330"/>
      <c r="N102" s="330"/>
      <c r="O102" s="330"/>
      <c r="P102" s="330"/>
      <c r="Q102" s="330"/>
      <c r="R102" s="330"/>
      <c r="S102" s="330"/>
      <c r="T102" s="330"/>
      <c r="U102" s="330"/>
      <c r="AA102" s="331"/>
      <c r="AB102" s="331"/>
      <c r="AC102" s="331"/>
      <c r="AD102" s="331"/>
      <c r="AE102" s="331"/>
      <c r="AF102" s="331"/>
      <c r="AG102" s="331"/>
      <c r="AH102" s="332"/>
      <c r="AI102" s="333"/>
      <c r="AJ102" s="334"/>
      <c r="AK102" s="335"/>
      <c r="AL102" s="336"/>
      <c r="AM102" s="336"/>
      <c r="AN102" s="471" t="s">
        <v>51</v>
      </c>
      <c r="AO102" s="471"/>
      <c r="AP102" s="471"/>
      <c r="AQ102" s="337"/>
      <c r="AR102" s="471" t="s">
        <v>52</v>
      </c>
      <c r="AS102" s="471"/>
      <c r="AT102" s="471"/>
      <c r="AU102" s="337"/>
      <c r="AV102" s="471" t="s">
        <v>53</v>
      </c>
      <c r="AW102" s="471"/>
      <c r="AX102" s="471"/>
      <c r="AY102" s="337"/>
      <c r="AZ102" s="471" t="s">
        <v>54</v>
      </c>
      <c r="BA102" s="471"/>
      <c r="BB102" s="471"/>
      <c r="BC102" s="337"/>
      <c r="BD102" s="471" t="s">
        <v>55</v>
      </c>
      <c r="BE102" s="471"/>
      <c r="BF102" s="471"/>
      <c r="BG102" s="338"/>
      <c r="BH102" s="339"/>
      <c r="BI102" s="339"/>
      <c r="BV102" s="338"/>
      <c r="BW102" s="338"/>
      <c r="BX102" s="338"/>
    </row>
    <row r="103" spans="1:76" ht="18.75" thickBot="1" x14ac:dyDescent="0.3">
      <c r="A103" s="18">
        <v>1</v>
      </c>
      <c r="C103" s="113"/>
      <c r="D103" s="114"/>
      <c r="E103" s="114"/>
      <c r="F103" s="114"/>
      <c r="G103" s="114"/>
      <c r="H103" s="114"/>
      <c r="I103" s="114"/>
      <c r="J103" s="114"/>
      <c r="K103" s="114"/>
      <c r="L103" s="114"/>
      <c r="M103" s="114"/>
      <c r="N103" s="114"/>
      <c r="O103" s="114"/>
      <c r="P103" s="114"/>
      <c r="Q103" s="114"/>
      <c r="R103" s="114"/>
      <c r="S103" s="114"/>
      <c r="T103" s="114"/>
      <c r="U103" s="114" t="str">
        <f>IF($P16="","",IF($P16=4,+$T16,""))</f>
        <v/>
      </c>
      <c r="AA103" s="31"/>
      <c r="AB103" s="31"/>
      <c r="AC103" s="31"/>
      <c r="AD103" s="31"/>
      <c r="AE103" s="31"/>
      <c r="AF103" s="31"/>
      <c r="AG103" s="31"/>
      <c r="AL103" s="169"/>
      <c r="AM103" s="55" t="str">
        <f>+AM68</f>
        <v>Proct-rice</v>
      </c>
      <c r="AN103" s="152" t="s">
        <v>26</v>
      </c>
      <c r="AO103" s="154" t="str">
        <f>+AO68</f>
        <v>count ratio</v>
      </c>
      <c r="AP103" s="152" t="s">
        <v>27</v>
      </c>
      <c r="AQ103" s="152" t="str">
        <f>+AQ68</f>
        <v>Proct-rice</v>
      </c>
      <c r="AR103" s="152" t="s">
        <v>26</v>
      </c>
      <c r="AS103" s="154" t="str">
        <f>+AO103</f>
        <v>count ratio</v>
      </c>
      <c r="AT103" s="152" t="s">
        <v>27</v>
      </c>
      <c r="AU103" s="152" t="str">
        <f>+AU68</f>
        <v>Proct-rice</v>
      </c>
      <c r="AV103" s="152" t="s">
        <v>26</v>
      </c>
      <c r="AW103" s="154" t="str">
        <f>+AS103</f>
        <v>count ratio</v>
      </c>
      <c r="AX103" s="152" t="s">
        <v>27</v>
      </c>
      <c r="AY103" s="152" t="str">
        <f>+AY68</f>
        <v>Proct-rice</v>
      </c>
      <c r="AZ103" s="152" t="s">
        <v>26</v>
      </c>
      <c r="BA103" s="154" t="str">
        <f>+AW103</f>
        <v>count ratio</v>
      </c>
      <c r="BB103" s="152" t="s">
        <v>27</v>
      </c>
      <c r="BC103" s="152" t="str">
        <f>+BC68</f>
        <v>Proct-rice</v>
      </c>
      <c r="BD103" s="152" t="s">
        <v>26</v>
      </c>
      <c r="BE103" s="154" t="str">
        <f>+BA103</f>
        <v>count ratio</v>
      </c>
      <c r="BF103" s="152" t="s">
        <v>27</v>
      </c>
      <c r="BG103" s="46"/>
      <c r="BH103" s="55"/>
      <c r="BI103" s="55"/>
      <c r="BV103" s="46"/>
      <c r="BW103" s="46"/>
      <c r="BX103" s="46"/>
    </row>
    <row r="104" spans="1:76" ht="18.75" thickBot="1" x14ac:dyDescent="0.3">
      <c r="A104" s="18">
        <f>+A103+1</f>
        <v>2</v>
      </c>
      <c r="C104" s="114"/>
      <c r="D104" s="114"/>
      <c r="E104" s="114"/>
      <c r="F104" s="114"/>
      <c r="G104" s="114"/>
      <c r="H104" s="114"/>
      <c r="I104" s="114"/>
      <c r="J104" s="114"/>
      <c r="K104" s="114"/>
      <c r="L104" s="114"/>
      <c r="M104" s="114"/>
      <c r="N104" s="114"/>
      <c r="O104" s="114"/>
      <c r="P104" s="114"/>
      <c r="Q104" s="114"/>
      <c r="R104" s="114"/>
      <c r="S104" s="114"/>
      <c r="T104" s="114"/>
      <c r="U104" s="114" t="str">
        <f t="shared" ref="U104" si="119">IF($P17="","",IF($P17=4,+$T17,""))</f>
        <v/>
      </c>
      <c r="AA104" s="31"/>
      <c r="AB104" s="31"/>
      <c r="AC104" s="31"/>
      <c r="AD104" s="31"/>
      <c r="AE104" s="31"/>
      <c r="AF104" s="31"/>
      <c r="AG104" s="31"/>
      <c r="AL104" s="48" t="s">
        <v>50</v>
      </c>
      <c r="AM104" s="86"/>
      <c r="AN104" s="163" t="str">
        <f>+IF(P48=4,4,"")</f>
        <v/>
      </c>
      <c r="AO104" s="162"/>
      <c r="AP104" s="162"/>
      <c r="AQ104" s="162"/>
      <c r="AR104" s="163"/>
      <c r="AS104" s="163"/>
      <c r="AT104" s="163"/>
      <c r="AU104" s="163"/>
      <c r="AV104" s="163"/>
      <c r="AW104" s="163"/>
      <c r="AX104" s="163"/>
      <c r="AY104" s="163"/>
      <c r="AZ104" s="163"/>
      <c r="BA104" s="163" t="str">
        <f>+IF(P111=10,+Q111,"")</f>
        <v/>
      </c>
      <c r="BB104" s="163" t="str">
        <f>+IF(P111=10,+#REF!,"")</f>
        <v/>
      </c>
      <c r="BC104" s="163"/>
      <c r="BD104" s="163"/>
      <c r="BE104" s="163"/>
      <c r="BF104" s="163"/>
      <c r="BG104" s="163"/>
      <c r="BH104" s="86"/>
      <c r="BI104" s="55"/>
      <c r="BV104" s="46"/>
      <c r="BW104" s="46"/>
      <c r="BX104" s="46"/>
    </row>
    <row r="105" spans="1:76" ht="19.5" thickTop="1" thickBot="1" x14ac:dyDescent="0.3">
      <c r="A105" s="18">
        <f t="shared" ref="A105:A132" si="120">+A104+1</f>
        <v>3</v>
      </c>
      <c r="C105" s="114"/>
      <c r="D105" s="114"/>
      <c r="E105" s="114"/>
      <c r="F105" s="114"/>
      <c r="G105" s="114"/>
      <c r="H105" s="114"/>
      <c r="I105" s="114"/>
      <c r="J105" s="114"/>
      <c r="K105" s="114"/>
      <c r="L105" s="114"/>
      <c r="M105" s="114"/>
      <c r="N105" s="114"/>
      <c r="O105" s="114"/>
      <c r="P105" s="114"/>
      <c r="Q105" s="114"/>
      <c r="R105" s="114"/>
      <c r="S105" s="114"/>
      <c r="T105" s="114"/>
      <c r="U105" s="114" t="str">
        <f t="shared" ref="U105" si="121">IF($P18="","",IF($P18=4,+$T18,""))</f>
        <v/>
      </c>
      <c r="AA105" s="31"/>
      <c r="AB105" s="31"/>
      <c r="AC105" s="31"/>
      <c r="AD105" s="31"/>
      <c r="AE105" s="31"/>
      <c r="AF105" s="31"/>
      <c r="AG105" s="31"/>
      <c r="AK105" s="158">
        <f t="shared" ref="AK105:AK111" si="122">+IF(E48="","",E48)</f>
        <v>42361</v>
      </c>
      <c r="AL105" s="159">
        <v>1</v>
      </c>
      <c r="AM105" s="85" t="str">
        <f t="shared" ref="AM105:AM111" si="123">+IF($L48="","",IF($L48=2,2,""))</f>
        <v/>
      </c>
      <c r="AN105" s="160" t="str">
        <f t="shared" ref="AN105:AN111" si="124">+IF(AND(AM105=2,P48=4),4,"")</f>
        <v/>
      </c>
      <c r="AO105" s="161" t="str">
        <f>+IF(AK105="","",IF(AND(AM105=2,AN105=4),+(Q48/VLOOKUP($R48,$T$69:$U$73,2)),""))</f>
        <v/>
      </c>
      <c r="AP105" s="196" t="str">
        <f>+IF(AND(AM105=2,P48=4),+S48,"")</f>
        <v/>
      </c>
      <c r="AQ105" s="85" t="str">
        <f t="shared" ref="AQ105:AQ111" si="125">+IF($L48="","",IF($L48=2,2,""))</f>
        <v/>
      </c>
      <c r="AR105" s="160" t="str">
        <f t="shared" ref="AR105:AR111" si="126">+IF(AND(AQ105=2,P48=6),6,"")</f>
        <v/>
      </c>
      <c r="AS105" s="197" t="str">
        <f>+IF(AK105="","",IF(AND(AQ105=2,P48=6),+Q48/VLOOKUP($AK105,$T$69:$U$73,2),""))</f>
        <v/>
      </c>
      <c r="AT105" s="160" t="str">
        <f>+IF(AND(AQ105=2,P48=6),+S48,"")</f>
        <v/>
      </c>
      <c r="AU105" s="85" t="str">
        <f t="shared" ref="AU105:AU111" si="127">+IF($L48="","",IF($L48=2,2,""))</f>
        <v/>
      </c>
      <c r="AV105" s="160" t="str">
        <f t="shared" ref="AV105:AV111" si="128">+IF(AND(AU105=2,P48=8),8,"")</f>
        <v/>
      </c>
      <c r="AW105" s="197" t="str">
        <f>+IF(AK105="","",IF(AND(AU105=2,P48=8),+Q48/VLOOKUP($AK105,$T$69:$U$73,2),""))</f>
        <v/>
      </c>
      <c r="AX105" s="160" t="str">
        <f>+IF(AND(AU105=2,P48=8),+S48,"")</f>
        <v/>
      </c>
      <c r="AY105" s="85" t="str">
        <f t="shared" ref="AY105:AY111" si="129">+IF($L48="","",IF($L48=2,2,""))</f>
        <v/>
      </c>
      <c r="AZ105" s="160" t="str">
        <f t="shared" ref="AZ105:AZ111" si="130">+IF(AND(AY105=2,P48=10),10,"")</f>
        <v/>
      </c>
      <c r="BA105" s="163" t="str">
        <f>+IF(AK105="","",IF(AND(AY105=2,P48=10),+Q48/VLOOKUP($AK105,$T$69:$U$73,2),""))</f>
        <v/>
      </c>
      <c r="BB105" s="160" t="str">
        <f>+IF(AND(AY105=2,P48=10),+S48,"")</f>
        <v/>
      </c>
      <c r="BC105" s="85" t="str">
        <f t="shared" ref="BC105:BC111" si="131">+IF($L48="","",IF($L48=2,2,""))</f>
        <v/>
      </c>
      <c r="BD105" s="160" t="str">
        <f t="shared" ref="BD105:BD111" si="132">+IF(AND(BC105=2,P48=12),12,"")</f>
        <v/>
      </c>
      <c r="BE105" s="163" t="str">
        <f>+IF(AK105="","",IF(AND(BC105=2,P48=12),+Q48/VLOOKUP($AK105,$T$69:$U$73,2),""))</f>
        <v/>
      </c>
      <c r="BF105" s="160" t="str">
        <f>+IF(AND(BC105=2,P48=12),+S48,"")</f>
        <v/>
      </c>
      <c r="BG105" s="163"/>
      <c r="BH105" s="86"/>
      <c r="BI105" s="55"/>
      <c r="BV105" s="46"/>
      <c r="BW105" s="46"/>
      <c r="BX105" s="46"/>
    </row>
    <row r="106" spans="1:76" ht="19.5" thickTop="1" thickBot="1" x14ac:dyDescent="0.3">
      <c r="A106" s="18">
        <f t="shared" si="120"/>
        <v>4</v>
      </c>
      <c r="C106" s="325"/>
      <c r="D106" s="114"/>
      <c r="E106" s="114"/>
      <c r="F106" s="114"/>
      <c r="G106" s="114"/>
      <c r="H106" s="114"/>
      <c r="I106" s="114"/>
      <c r="J106" s="114"/>
      <c r="K106" s="114"/>
      <c r="L106" s="114"/>
      <c r="M106" s="114"/>
      <c r="N106" s="114"/>
      <c r="O106" s="114"/>
      <c r="P106" s="114"/>
      <c r="Q106" s="114"/>
      <c r="R106" s="114"/>
      <c r="S106" s="114"/>
      <c r="T106" s="114"/>
      <c r="U106" s="114" t="str">
        <f t="shared" ref="U106" si="133">IF($P19="","",IF($P19=4,+$T19,""))</f>
        <v/>
      </c>
      <c r="AA106" s="31"/>
      <c r="AB106" s="31"/>
      <c r="AC106" s="31"/>
      <c r="AD106" s="31"/>
      <c r="AE106" s="31"/>
      <c r="AF106" s="31"/>
      <c r="AG106" s="31"/>
      <c r="AK106" s="158">
        <f t="shared" si="122"/>
        <v>42361</v>
      </c>
      <c r="AL106" s="159">
        <f t="shared" ref="AL106:AL113" si="134">+AL105+1</f>
        <v>2</v>
      </c>
      <c r="AM106" s="166" t="str">
        <f t="shared" si="123"/>
        <v/>
      </c>
      <c r="AN106" s="163" t="str">
        <f t="shared" si="124"/>
        <v/>
      </c>
      <c r="AO106" s="161" t="str">
        <f t="shared" ref="AO106:AO111" si="135">+IF(AK106="","",IF(AND(AM106=2,AN106=4),+(Q49/VLOOKUP($AK49,$T$69:$U$73,2)),""))</f>
        <v/>
      </c>
      <c r="AP106" s="196" t="str">
        <f t="shared" ref="AP106:AP113" si="136">+IF(AND(AM106=2,P49=4),+S49,"")</f>
        <v/>
      </c>
      <c r="AQ106" s="166" t="str">
        <f t="shared" si="125"/>
        <v/>
      </c>
      <c r="AR106" s="163" t="str">
        <f t="shared" si="126"/>
        <v/>
      </c>
      <c r="AS106" s="197" t="str">
        <f t="shared" ref="AS106:AS113" si="137">+IF(AK106="","",IF(AND(AQ106=2,P49=6),+Q49/VLOOKUP($AK106,$T$69:$U$73,2),""))</f>
        <v/>
      </c>
      <c r="AT106" s="160" t="str">
        <f t="shared" ref="AT106:AT113" si="138">+IF(AND(AQ106=2,P49=6),+S49,"")</f>
        <v/>
      </c>
      <c r="AU106" s="166" t="str">
        <f t="shared" si="127"/>
        <v/>
      </c>
      <c r="AV106" s="163" t="str">
        <f t="shared" si="128"/>
        <v/>
      </c>
      <c r="AW106" s="197" t="str">
        <f t="shared" ref="AW106:AW113" si="139">+IF(AK106="","",IF(AND(AU106=2,P49=8),+Q49/VLOOKUP($AK106,$T$69:$U$73,2),""))</f>
        <v/>
      </c>
      <c r="AX106" s="160" t="str">
        <f t="shared" ref="AX106:AX113" si="140">+IF(AND(AU106=2,P49=8),+S49,"")</f>
        <v/>
      </c>
      <c r="AY106" s="166" t="str">
        <f t="shared" si="129"/>
        <v/>
      </c>
      <c r="AZ106" s="163" t="str">
        <f t="shared" si="130"/>
        <v/>
      </c>
      <c r="BA106" s="163" t="str">
        <f t="shared" ref="BA106:BA113" si="141">+IF(AK106="","",IF(AND(AY106=2,P49=10),+Q49/VLOOKUP($AK106,$T$69:$U$73,2),""))</f>
        <v/>
      </c>
      <c r="BB106" s="160" t="str">
        <f t="shared" ref="BB106:BB113" si="142">+IF(AND(AY106=2,P49=10),+S49,"")</f>
        <v/>
      </c>
      <c r="BC106" s="166" t="str">
        <f t="shared" si="131"/>
        <v/>
      </c>
      <c r="BD106" s="163" t="str">
        <f t="shared" si="132"/>
        <v/>
      </c>
      <c r="BE106" s="163" t="str">
        <f t="shared" ref="BE106:BE113" si="143">+IF(AK106="","",IF(AND(BC106=2,P49=12),+Q49/VLOOKUP($AK106,$T$69:$U$73,2),""))</f>
        <v/>
      </c>
      <c r="BF106" s="160" t="str">
        <f t="shared" ref="BF106:BF113" si="144">+IF(AND(BC106=2,P49=12),+S49,"")</f>
        <v/>
      </c>
      <c r="BG106" s="163"/>
      <c r="BH106" s="86"/>
      <c r="BI106" s="55"/>
      <c r="BV106" s="46"/>
      <c r="BW106" s="46"/>
      <c r="BX106" s="46"/>
    </row>
    <row r="107" spans="1:76" ht="19.5" customHeight="1" thickTop="1" thickBot="1" x14ac:dyDescent="0.3">
      <c r="A107" s="18">
        <f t="shared" si="120"/>
        <v>5</v>
      </c>
      <c r="C107" s="325"/>
      <c r="D107" s="114"/>
      <c r="E107" s="114"/>
      <c r="F107" s="114"/>
      <c r="G107" s="114"/>
      <c r="H107" s="114"/>
      <c r="I107" s="114"/>
      <c r="J107" s="114"/>
      <c r="K107" s="114"/>
      <c r="L107" s="114"/>
      <c r="M107" s="114"/>
      <c r="N107" s="114"/>
      <c r="O107" s="114"/>
      <c r="P107" s="114"/>
      <c r="Q107" s="114"/>
      <c r="R107" s="114"/>
      <c r="S107" s="114"/>
      <c r="T107" s="114"/>
      <c r="U107" s="114" t="str">
        <f t="shared" ref="U107" si="145">IF($P20="","",IF($P20=4,+$T20,""))</f>
        <v/>
      </c>
      <c r="AA107" s="31"/>
      <c r="AB107" s="31"/>
      <c r="AC107" s="31"/>
      <c r="AD107" s="31"/>
      <c r="AE107" s="31"/>
      <c r="AF107" s="31"/>
      <c r="AG107" s="31"/>
      <c r="AK107" s="158">
        <f t="shared" si="122"/>
        <v>42361</v>
      </c>
      <c r="AL107" s="159">
        <f t="shared" si="134"/>
        <v>3</v>
      </c>
      <c r="AM107" s="166" t="str">
        <f t="shared" si="123"/>
        <v/>
      </c>
      <c r="AN107" s="163" t="str">
        <f t="shared" si="124"/>
        <v/>
      </c>
      <c r="AO107" s="161" t="str">
        <f t="shared" si="135"/>
        <v/>
      </c>
      <c r="AP107" s="196" t="str">
        <f t="shared" si="136"/>
        <v/>
      </c>
      <c r="AQ107" s="166" t="str">
        <f t="shared" si="125"/>
        <v/>
      </c>
      <c r="AR107" s="163" t="str">
        <f t="shared" si="126"/>
        <v/>
      </c>
      <c r="AS107" s="197" t="str">
        <f t="shared" si="137"/>
        <v/>
      </c>
      <c r="AT107" s="160" t="str">
        <f t="shared" si="138"/>
        <v/>
      </c>
      <c r="AU107" s="166" t="str">
        <f t="shared" si="127"/>
        <v/>
      </c>
      <c r="AV107" s="163" t="str">
        <f t="shared" si="128"/>
        <v/>
      </c>
      <c r="AW107" s="197" t="str">
        <f t="shared" si="139"/>
        <v/>
      </c>
      <c r="AX107" s="160" t="str">
        <f t="shared" si="140"/>
        <v/>
      </c>
      <c r="AY107" s="166" t="str">
        <f t="shared" si="129"/>
        <v/>
      </c>
      <c r="AZ107" s="163" t="str">
        <f t="shared" si="130"/>
        <v/>
      </c>
      <c r="BA107" s="163" t="str">
        <f t="shared" si="141"/>
        <v/>
      </c>
      <c r="BB107" s="160" t="str">
        <f t="shared" si="142"/>
        <v/>
      </c>
      <c r="BC107" s="166" t="str">
        <f t="shared" si="131"/>
        <v/>
      </c>
      <c r="BD107" s="163" t="str">
        <f t="shared" si="132"/>
        <v/>
      </c>
      <c r="BE107" s="163" t="str">
        <f t="shared" si="143"/>
        <v/>
      </c>
      <c r="BF107" s="160" t="str">
        <f t="shared" si="144"/>
        <v/>
      </c>
      <c r="BG107" s="163"/>
      <c r="BH107" s="86"/>
      <c r="BI107" s="55"/>
      <c r="BV107" s="46"/>
      <c r="BW107" s="46"/>
      <c r="BX107" s="46"/>
    </row>
    <row r="108" spans="1:76" ht="18.75" customHeight="1" thickTop="1" thickBot="1" x14ac:dyDescent="0.3">
      <c r="A108" s="18">
        <f t="shared" si="120"/>
        <v>6</v>
      </c>
      <c r="C108" s="325"/>
      <c r="D108" s="114"/>
      <c r="E108" s="114"/>
      <c r="F108" s="114"/>
      <c r="G108" s="114"/>
      <c r="H108" s="114"/>
      <c r="I108" s="114"/>
      <c r="J108" s="114"/>
      <c r="K108" s="114"/>
      <c r="L108" s="114"/>
      <c r="M108" s="114"/>
      <c r="N108" s="114"/>
      <c r="O108" s="114"/>
      <c r="P108" s="114"/>
      <c r="Q108" s="114"/>
      <c r="R108" s="114"/>
      <c r="S108" s="114"/>
      <c r="T108" s="114"/>
      <c r="U108" s="114" t="str">
        <f t="shared" ref="U108" si="146">IF($P21="","",IF($P21=4,+$T21,""))</f>
        <v/>
      </c>
      <c r="AA108" s="31"/>
      <c r="AB108" s="31"/>
      <c r="AC108" s="31"/>
      <c r="AD108" s="31"/>
      <c r="AE108" s="31"/>
      <c r="AF108" s="31"/>
      <c r="AG108" s="31"/>
      <c r="AK108" s="158">
        <f t="shared" si="122"/>
        <v>42361</v>
      </c>
      <c r="AL108" s="159">
        <f t="shared" si="134"/>
        <v>4</v>
      </c>
      <c r="AM108" s="166" t="str">
        <f t="shared" si="123"/>
        <v/>
      </c>
      <c r="AN108" s="163" t="str">
        <f t="shared" si="124"/>
        <v/>
      </c>
      <c r="AO108" s="161" t="str">
        <f t="shared" si="135"/>
        <v/>
      </c>
      <c r="AP108" s="196" t="str">
        <f t="shared" si="136"/>
        <v/>
      </c>
      <c r="AQ108" s="166" t="str">
        <f t="shared" si="125"/>
        <v/>
      </c>
      <c r="AR108" s="163" t="str">
        <f t="shared" si="126"/>
        <v/>
      </c>
      <c r="AS108" s="197" t="str">
        <f t="shared" si="137"/>
        <v/>
      </c>
      <c r="AT108" s="160" t="str">
        <f t="shared" si="138"/>
        <v/>
      </c>
      <c r="AU108" s="166" t="str">
        <f t="shared" si="127"/>
        <v/>
      </c>
      <c r="AV108" s="163" t="str">
        <f t="shared" si="128"/>
        <v/>
      </c>
      <c r="AW108" s="197" t="str">
        <f t="shared" si="139"/>
        <v/>
      </c>
      <c r="AX108" s="160" t="str">
        <f t="shared" si="140"/>
        <v/>
      </c>
      <c r="AY108" s="166" t="str">
        <f t="shared" si="129"/>
        <v/>
      </c>
      <c r="AZ108" s="163" t="str">
        <f t="shared" si="130"/>
        <v/>
      </c>
      <c r="BA108" s="163" t="str">
        <f t="shared" si="141"/>
        <v/>
      </c>
      <c r="BB108" s="160" t="str">
        <f t="shared" si="142"/>
        <v/>
      </c>
      <c r="BC108" s="166" t="str">
        <f t="shared" si="131"/>
        <v/>
      </c>
      <c r="BD108" s="163" t="str">
        <f t="shared" si="132"/>
        <v/>
      </c>
      <c r="BE108" s="163" t="str">
        <f t="shared" si="143"/>
        <v/>
      </c>
      <c r="BF108" s="160" t="str">
        <f t="shared" si="144"/>
        <v/>
      </c>
      <c r="BG108" s="163"/>
      <c r="BH108" s="86"/>
      <c r="BI108" s="55"/>
      <c r="BV108" s="46"/>
      <c r="BW108" s="46"/>
      <c r="BX108" s="46"/>
    </row>
    <row r="109" spans="1:76" ht="19.5" thickTop="1" thickBot="1" x14ac:dyDescent="0.3">
      <c r="A109" s="18">
        <f t="shared" si="120"/>
        <v>7</v>
      </c>
      <c r="C109" s="325"/>
      <c r="D109" s="114"/>
      <c r="E109" s="114"/>
      <c r="F109" s="114"/>
      <c r="G109" s="114"/>
      <c r="H109" s="114"/>
      <c r="I109" s="114"/>
      <c r="J109" s="114"/>
      <c r="K109" s="114"/>
      <c r="L109" s="114"/>
      <c r="M109" s="114"/>
      <c r="N109" s="114"/>
      <c r="O109" s="114"/>
      <c r="P109" s="114"/>
      <c r="Q109" s="114"/>
      <c r="R109" s="114"/>
      <c r="S109" s="114"/>
      <c r="T109" s="114"/>
      <c r="U109" s="114" t="str">
        <f t="shared" ref="U109" si="147">IF($P22="","",IF($P22=4,+$T22,""))</f>
        <v/>
      </c>
      <c r="AA109" s="31"/>
      <c r="AB109" s="31"/>
      <c r="AC109" s="31"/>
      <c r="AD109" s="31"/>
      <c r="AE109" s="31"/>
      <c r="AF109" s="31"/>
      <c r="AG109" s="31"/>
      <c r="AK109" s="158" t="str">
        <f t="shared" si="122"/>
        <v/>
      </c>
      <c r="AL109" s="159">
        <f t="shared" si="134"/>
        <v>5</v>
      </c>
      <c r="AM109" s="166" t="str">
        <f t="shared" si="123"/>
        <v/>
      </c>
      <c r="AN109" s="163" t="str">
        <f t="shared" si="124"/>
        <v/>
      </c>
      <c r="AO109" s="161" t="str">
        <f t="shared" si="135"/>
        <v/>
      </c>
      <c r="AP109" s="196" t="str">
        <f t="shared" si="136"/>
        <v/>
      </c>
      <c r="AQ109" s="166" t="str">
        <f t="shared" si="125"/>
        <v/>
      </c>
      <c r="AR109" s="163" t="str">
        <f t="shared" si="126"/>
        <v/>
      </c>
      <c r="AS109" s="197" t="str">
        <f t="shared" si="137"/>
        <v/>
      </c>
      <c r="AT109" s="160" t="str">
        <f t="shared" si="138"/>
        <v/>
      </c>
      <c r="AU109" s="166" t="str">
        <f t="shared" si="127"/>
        <v/>
      </c>
      <c r="AV109" s="163" t="str">
        <f t="shared" si="128"/>
        <v/>
      </c>
      <c r="AW109" s="197" t="str">
        <f t="shared" si="139"/>
        <v/>
      </c>
      <c r="AX109" s="160" t="str">
        <f t="shared" si="140"/>
        <v/>
      </c>
      <c r="AY109" s="166" t="str">
        <f t="shared" si="129"/>
        <v/>
      </c>
      <c r="AZ109" s="163" t="str">
        <f t="shared" si="130"/>
        <v/>
      </c>
      <c r="BA109" s="163" t="str">
        <f t="shared" si="141"/>
        <v/>
      </c>
      <c r="BB109" s="160" t="str">
        <f t="shared" si="142"/>
        <v/>
      </c>
      <c r="BC109" s="166" t="str">
        <f t="shared" si="131"/>
        <v/>
      </c>
      <c r="BD109" s="163" t="str">
        <f t="shared" si="132"/>
        <v/>
      </c>
      <c r="BE109" s="163" t="str">
        <f t="shared" si="143"/>
        <v/>
      </c>
      <c r="BF109" s="160" t="str">
        <f t="shared" si="144"/>
        <v/>
      </c>
      <c r="BG109" s="163"/>
      <c r="BH109" s="86"/>
      <c r="BI109" s="55"/>
      <c r="BV109" s="46"/>
      <c r="BW109" s="46"/>
      <c r="BX109" s="46"/>
    </row>
    <row r="110" spans="1:76" ht="19.5" thickTop="1" thickBot="1" x14ac:dyDescent="0.3">
      <c r="A110" s="18">
        <f t="shared" si="120"/>
        <v>8</v>
      </c>
      <c r="C110" s="325"/>
      <c r="D110" s="114"/>
      <c r="E110" s="114"/>
      <c r="F110" s="114"/>
      <c r="G110" s="114"/>
      <c r="H110" s="114"/>
      <c r="I110" s="114"/>
      <c r="J110" s="114"/>
      <c r="K110" s="114"/>
      <c r="L110" s="114"/>
      <c r="M110" s="114"/>
      <c r="N110" s="114"/>
      <c r="O110" s="114"/>
      <c r="P110" s="114"/>
      <c r="Q110" s="114"/>
      <c r="R110" s="114"/>
      <c r="S110" s="114"/>
      <c r="T110" s="114"/>
      <c r="U110" s="114" t="str">
        <f t="shared" ref="U110" si="148">IF($P23="","",IF($P23=4,+$T23,""))</f>
        <v/>
      </c>
      <c r="AA110" s="31"/>
      <c r="AB110" s="31"/>
      <c r="AC110" s="31"/>
      <c r="AD110" s="31"/>
      <c r="AE110" s="31"/>
      <c r="AF110" s="31"/>
      <c r="AG110" s="31"/>
      <c r="AK110" s="158" t="str">
        <f t="shared" si="122"/>
        <v/>
      </c>
      <c r="AL110" s="159">
        <f t="shared" si="134"/>
        <v>6</v>
      </c>
      <c r="AM110" s="166" t="str">
        <f t="shared" si="123"/>
        <v/>
      </c>
      <c r="AN110" s="163" t="str">
        <f t="shared" si="124"/>
        <v/>
      </c>
      <c r="AO110" s="161" t="str">
        <f t="shared" si="135"/>
        <v/>
      </c>
      <c r="AP110" s="196" t="str">
        <f t="shared" si="136"/>
        <v/>
      </c>
      <c r="AQ110" s="166" t="str">
        <f t="shared" si="125"/>
        <v/>
      </c>
      <c r="AR110" s="163" t="str">
        <f t="shared" si="126"/>
        <v/>
      </c>
      <c r="AS110" s="197" t="str">
        <f t="shared" si="137"/>
        <v/>
      </c>
      <c r="AT110" s="160" t="str">
        <f t="shared" si="138"/>
        <v/>
      </c>
      <c r="AU110" s="166" t="str">
        <f t="shared" si="127"/>
        <v/>
      </c>
      <c r="AV110" s="163" t="str">
        <f t="shared" si="128"/>
        <v/>
      </c>
      <c r="AW110" s="197" t="str">
        <f t="shared" si="139"/>
        <v/>
      </c>
      <c r="AX110" s="160" t="str">
        <f t="shared" si="140"/>
        <v/>
      </c>
      <c r="AY110" s="166" t="str">
        <f t="shared" si="129"/>
        <v/>
      </c>
      <c r="AZ110" s="163" t="str">
        <f t="shared" si="130"/>
        <v/>
      </c>
      <c r="BA110" s="163" t="str">
        <f t="shared" si="141"/>
        <v/>
      </c>
      <c r="BB110" s="160" t="str">
        <f t="shared" si="142"/>
        <v/>
      </c>
      <c r="BC110" s="166" t="str">
        <f t="shared" si="131"/>
        <v/>
      </c>
      <c r="BD110" s="163" t="str">
        <f t="shared" si="132"/>
        <v/>
      </c>
      <c r="BE110" s="163" t="str">
        <f t="shared" si="143"/>
        <v/>
      </c>
      <c r="BF110" s="160" t="str">
        <f t="shared" si="144"/>
        <v/>
      </c>
      <c r="BG110" s="49"/>
      <c r="BH110" s="49"/>
      <c r="BI110" s="24"/>
      <c r="BV110" s="46"/>
      <c r="BW110" s="46"/>
      <c r="BX110" s="46"/>
    </row>
    <row r="111" spans="1:76" ht="19.5" thickTop="1" thickBot="1" x14ac:dyDescent="0.3">
      <c r="A111" s="18">
        <f t="shared" si="120"/>
        <v>9</v>
      </c>
      <c r="C111" s="325"/>
      <c r="D111" s="114"/>
      <c r="E111" s="114"/>
      <c r="F111" s="114"/>
      <c r="G111" s="114"/>
      <c r="H111" s="114"/>
      <c r="I111" s="114"/>
      <c r="J111" s="114"/>
      <c r="K111" s="114"/>
      <c r="L111" s="114"/>
      <c r="M111" s="114"/>
      <c r="N111" s="114"/>
      <c r="O111" s="114"/>
      <c r="P111" s="114"/>
      <c r="Q111" s="114"/>
      <c r="R111" s="114"/>
      <c r="S111" s="114"/>
      <c r="T111" s="114"/>
      <c r="U111" s="114" t="str">
        <f t="shared" ref="U111" si="149">IF($P24="","",IF($P24=4,+$T24,""))</f>
        <v/>
      </c>
      <c r="AA111" s="31"/>
      <c r="AB111" s="31"/>
      <c r="AC111" s="31"/>
      <c r="AD111" s="31"/>
      <c r="AE111" s="31"/>
      <c r="AF111" s="31"/>
      <c r="AG111" s="31"/>
      <c r="AK111" s="158" t="str">
        <f t="shared" si="122"/>
        <v/>
      </c>
      <c r="AL111" s="159">
        <f t="shared" si="134"/>
        <v>7</v>
      </c>
      <c r="AM111" s="166" t="str">
        <f t="shared" si="123"/>
        <v/>
      </c>
      <c r="AN111" s="163" t="str">
        <f t="shared" si="124"/>
        <v/>
      </c>
      <c r="AO111" s="161" t="str">
        <f t="shared" si="135"/>
        <v/>
      </c>
      <c r="AP111" s="196" t="str">
        <f t="shared" si="136"/>
        <v/>
      </c>
      <c r="AQ111" s="166" t="str">
        <f t="shared" si="125"/>
        <v/>
      </c>
      <c r="AR111" s="163" t="str">
        <f t="shared" si="126"/>
        <v/>
      </c>
      <c r="AS111" s="197" t="str">
        <f t="shared" si="137"/>
        <v/>
      </c>
      <c r="AT111" s="160" t="str">
        <f t="shared" si="138"/>
        <v/>
      </c>
      <c r="AU111" s="166" t="str">
        <f t="shared" si="127"/>
        <v/>
      </c>
      <c r="AV111" s="163" t="str">
        <f t="shared" si="128"/>
        <v/>
      </c>
      <c r="AW111" s="197" t="str">
        <f t="shared" si="139"/>
        <v/>
      </c>
      <c r="AX111" s="160" t="str">
        <f t="shared" si="140"/>
        <v/>
      </c>
      <c r="AY111" s="166" t="str">
        <f t="shared" si="129"/>
        <v/>
      </c>
      <c r="AZ111" s="163" t="str">
        <f t="shared" si="130"/>
        <v/>
      </c>
      <c r="BA111" s="163" t="str">
        <f t="shared" si="141"/>
        <v/>
      </c>
      <c r="BB111" s="160" t="str">
        <f t="shared" si="142"/>
        <v/>
      </c>
      <c r="BC111" s="166" t="str">
        <f t="shared" si="131"/>
        <v/>
      </c>
      <c r="BD111" s="163" t="str">
        <f t="shared" si="132"/>
        <v/>
      </c>
      <c r="BE111" s="163" t="str">
        <f t="shared" si="143"/>
        <v/>
      </c>
      <c r="BF111" s="160" t="str">
        <f t="shared" si="144"/>
        <v/>
      </c>
      <c r="BG111" s="49"/>
      <c r="BH111" s="49"/>
      <c r="BI111" s="24"/>
      <c r="BV111" s="46"/>
      <c r="BW111" s="46"/>
      <c r="BX111" s="46"/>
    </row>
    <row r="112" spans="1:76" ht="19.5" thickTop="1" thickBot="1" x14ac:dyDescent="0.3">
      <c r="A112" s="18">
        <f t="shared" si="120"/>
        <v>10</v>
      </c>
      <c r="C112" s="325"/>
      <c r="D112" s="114"/>
      <c r="E112" s="114"/>
      <c r="F112" s="114"/>
      <c r="G112" s="114"/>
      <c r="H112" s="114"/>
      <c r="I112" s="114"/>
      <c r="J112" s="114"/>
      <c r="K112" s="114"/>
      <c r="L112" s="114"/>
      <c r="M112" s="114"/>
      <c r="N112" s="114"/>
      <c r="O112" s="114"/>
      <c r="P112" s="114"/>
      <c r="Q112" s="114"/>
      <c r="R112" s="114"/>
      <c r="S112" s="114"/>
      <c r="T112" s="114"/>
      <c r="U112" s="114" t="str">
        <f t="shared" ref="U112" si="150">IF($P25="","",IF($P25=4,+$T25,""))</f>
        <v/>
      </c>
      <c r="AA112" s="31"/>
      <c r="AB112" s="31"/>
      <c r="AC112" s="31"/>
      <c r="AD112" s="31"/>
      <c r="AE112" s="31"/>
      <c r="AF112" s="31"/>
      <c r="AG112" s="31"/>
      <c r="AK112" s="158" t="str">
        <f>+IF(E56="","",E56)</f>
        <v/>
      </c>
      <c r="AL112" s="159">
        <f t="shared" si="134"/>
        <v>8</v>
      </c>
      <c r="AM112" s="166" t="str">
        <f>+IF($L56="","",IF($L56=2,2,""))</f>
        <v/>
      </c>
      <c r="AN112" s="163" t="str">
        <f>+IF(AND(AM112=2,P56=4),4,"")</f>
        <v/>
      </c>
      <c r="AO112" s="161" t="str">
        <f>+IF(AK112="","",IF(AND(AM112=2,AN112=4),+(Q56/VLOOKUP($AK56,$T$69:$U$73,2)),""))</f>
        <v/>
      </c>
      <c r="AP112" s="196" t="str">
        <f t="shared" si="136"/>
        <v/>
      </c>
      <c r="AQ112" s="166" t="str">
        <f>+IF($L56="","",IF($L56=2,2,""))</f>
        <v/>
      </c>
      <c r="AR112" s="163" t="str">
        <f>+IF(AND(AQ112=2,P56=6),6,"")</f>
        <v/>
      </c>
      <c r="AS112" s="197" t="str">
        <f t="shared" si="137"/>
        <v/>
      </c>
      <c r="AT112" s="160" t="str">
        <f t="shared" si="138"/>
        <v/>
      </c>
      <c r="AU112" s="166" t="str">
        <f>+IF($L56="","",IF($L56=2,2,""))</f>
        <v/>
      </c>
      <c r="AV112" s="163" t="str">
        <f>+IF(AND(AU112=2,P56=8),8,"")</f>
        <v/>
      </c>
      <c r="AW112" s="197" t="str">
        <f t="shared" si="139"/>
        <v/>
      </c>
      <c r="AX112" s="160" t="str">
        <f t="shared" si="140"/>
        <v/>
      </c>
      <c r="AY112" s="166" t="str">
        <f>+IF($L56="","",IF($L56=2,2,""))</f>
        <v/>
      </c>
      <c r="AZ112" s="163" t="str">
        <f>+IF(AND(AY112=2,P56=10),10,"")</f>
        <v/>
      </c>
      <c r="BA112" s="163" t="str">
        <f t="shared" si="141"/>
        <v/>
      </c>
      <c r="BB112" s="160" t="str">
        <f t="shared" si="142"/>
        <v/>
      </c>
      <c r="BC112" s="166" t="str">
        <f>+IF($L56="","",IF($L56=2,2,""))</f>
        <v/>
      </c>
      <c r="BD112" s="163" t="str">
        <f>+IF(AND(BC112=2,P56=12),12,"")</f>
        <v/>
      </c>
      <c r="BE112" s="163" t="str">
        <f t="shared" si="143"/>
        <v/>
      </c>
      <c r="BF112" s="160" t="str">
        <f t="shared" si="144"/>
        <v/>
      </c>
      <c r="BG112" s="49"/>
      <c r="BH112" s="49"/>
      <c r="BI112" s="24"/>
      <c r="BV112" s="46"/>
      <c r="BW112" s="46"/>
      <c r="BX112" s="46"/>
    </row>
    <row r="113" spans="1:76" ht="18.75" thickTop="1" x14ac:dyDescent="0.25">
      <c r="A113" s="18">
        <f t="shared" si="120"/>
        <v>11</v>
      </c>
      <c r="C113" s="325"/>
      <c r="D113" s="114"/>
      <c r="E113" s="114"/>
      <c r="F113" s="114"/>
      <c r="G113" s="114"/>
      <c r="H113" s="114"/>
      <c r="I113" s="114"/>
      <c r="J113" s="114"/>
      <c r="K113" s="114"/>
      <c r="L113" s="114"/>
      <c r="M113" s="114"/>
      <c r="N113" s="114"/>
      <c r="O113" s="114"/>
      <c r="P113" s="114"/>
      <c r="Q113" s="114"/>
      <c r="R113" s="114"/>
      <c r="S113" s="114"/>
      <c r="T113" s="114"/>
      <c r="U113" s="114" t="str">
        <f t="shared" ref="U113" si="151">IF($P26="","",IF($P26=4,+$T26,""))</f>
        <v/>
      </c>
      <c r="AA113" s="31"/>
      <c r="AB113" s="31"/>
      <c r="AC113" s="31"/>
      <c r="AD113" s="31"/>
      <c r="AE113" s="31"/>
      <c r="AF113" s="31"/>
      <c r="AG113" s="31"/>
      <c r="AK113" s="158" t="str">
        <f>+IF(E57="","",E57)</f>
        <v/>
      </c>
      <c r="AL113" s="159">
        <f t="shared" si="134"/>
        <v>9</v>
      </c>
      <c r="AM113" s="166" t="str">
        <f>+IF($L57="","",IF($L57=2,2,""))</f>
        <v/>
      </c>
      <c r="AN113" s="163" t="str">
        <f>+IF(AND(AM113=2,P57=4),4,"")</f>
        <v/>
      </c>
      <c r="AO113" s="161" t="str">
        <f>+IF(AK113="","",IF(AND(AM113=2,AN113=4),+(Q57/VLOOKUP($AK57,$T$69:$U$73,2)),""))</f>
        <v/>
      </c>
      <c r="AP113" s="196" t="str">
        <f t="shared" si="136"/>
        <v/>
      </c>
      <c r="AQ113" s="166" t="str">
        <f>+IF($L57="","",IF($L57=2,2,""))</f>
        <v/>
      </c>
      <c r="AR113" s="163" t="str">
        <f>+IF(AND(AQ113=2,P57=6),6,"")</f>
        <v/>
      </c>
      <c r="AS113" s="197" t="str">
        <f t="shared" si="137"/>
        <v/>
      </c>
      <c r="AT113" s="160" t="str">
        <f t="shared" si="138"/>
        <v/>
      </c>
      <c r="AU113" s="166" t="str">
        <f>+IF($L57="","",IF($L57=2,2,""))</f>
        <v/>
      </c>
      <c r="AV113" s="163" t="str">
        <f>+IF(AND(AU113=2,P57=8),8,"")</f>
        <v/>
      </c>
      <c r="AW113" s="197" t="str">
        <f t="shared" si="139"/>
        <v/>
      </c>
      <c r="AX113" s="160" t="str">
        <f t="shared" si="140"/>
        <v/>
      </c>
      <c r="AY113" s="166" t="str">
        <f>+IF($L57="","",IF($L57=2,2,""))</f>
        <v/>
      </c>
      <c r="AZ113" s="163" t="str">
        <f>+IF(AND(AY113=2,P57=10),10,"")</f>
        <v/>
      </c>
      <c r="BA113" s="163" t="str">
        <f t="shared" si="141"/>
        <v/>
      </c>
      <c r="BB113" s="160" t="str">
        <f t="shared" si="142"/>
        <v/>
      </c>
      <c r="BC113" s="166" t="str">
        <f>+IF($L57="","",IF($L57=2,2,""))</f>
        <v/>
      </c>
      <c r="BD113" s="163" t="str">
        <f>+IF(AND(BC113=2,P57=12),12,"")</f>
        <v/>
      </c>
      <c r="BE113" s="163" t="str">
        <f t="shared" si="143"/>
        <v/>
      </c>
      <c r="BF113" s="160" t="str">
        <f t="shared" si="144"/>
        <v/>
      </c>
      <c r="BG113" s="49"/>
      <c r="BH113" s="49"/>
      <c r="BV113" s="46"/>
      <c r="BW113" s="46"/>
      <c r="BX113" s="46"/>
    </row>
    <row r="114" spans="1:76" ht="18.75" thickBot="1" x14ac:dyDescent="0.3">
      <c r="A114" s="18">
        <f t="shared" si="120"/>
        <v>12</v>
      </c>
      <c r="C114" s="325"/>
      <c r="D114" s="114"/>
      <c r="E114" s="114"/>
      <c r="F114" s="114"/>
      <c r="G114" s="114"/>
      <c r="H114" s="114"/>
      <c r="I114" s="114"/>
      <c r="J114" s="114"/>
      <c r="K114" s="114"/>
      <c r="L114" s="114"/>
      <c r="M114" s="114"/>
      <c r="N114" s="114"/>
      <c r="O114" s="114"/>
      <c r="P114" s="114"/>
      <c r="Q114" s="114"/>
      <c r="R114" s="114"/>
      <c r="S114" s="114"/>
      <c r="T114" s="114"/>
      <c r="U114" s="114" t="str">
        <f t="shared" ref="U114" si="152">IF($P27="","",IF($P27=4,+$T27,""))</f>
        <v/>
      </c>
      <c r="AA114" s="31"/>
      <c r="AB114" s="31"/>
      <c r="AC114" s="31"/>
      <c r="AD114" s="31"/>
      <c r="AE114" s="31"/>
      <c r="AF114" s="31"/>
      <c r="AG114" s="31"/>
      <c r="AL114" s="102"/>
      <c r="AM114" s="102"/>
      <c r="AN114" s="102"/>
      <c r="AO114" s="176" t="str">
        <f>+IF(COUNT(AO105:AO113)&lt;3,"N/A",IF(SUM(AO105:AO113)="","",RSQ(AO105:AO113,AP105:AP113)))</f>
        <v>N/A</v>
      </c>
      <c r="AP114" s="206"/>
      <c r="AQ114" s="206"/>
      <c r="AR114" s="207"/>
      <c r="AS114" s="176" t="str">
        <f>+IF(COUNT(AS105:AS113)&lt;3,"N/A",IF(SUM(AS105:AS113)="","",RSQ(AS105:AS113,AT105:AT113)))</f>
        <v>N/A</v>
      </c>
      <c r="AT114" s="207"/>
      <c r="AU114" s="207"/>
      <c r="AV114" s="207"/>
      <c r="AW114" s="176" t="str">
        <f>+IF(COUNT(AW105:AW113)&lt;3,"N/A",IF(SUM(AW105:AW113)="","",RSQ(AW105:AW113,AX105:AX113)))</f>
        <v>N/A</v>
      </c>
      <c r="AX114" s="207"/>
      <c r="AY114" s="207"/>
      <c r="AZ114" s="207"/>
      <c r="BA114" s="176" t="str">
        <f>+IF(COUNT(BA105:BA113)&lt;3,"N/A",IF(SUM(BA105:BA113)="","",RSQ(BA105:BA113,BB105:BB113)))</f>
        <v>N/A</v>
      </c>
      <c r="BB114" s="207"/>
      <c r="BC114" s="207"/>
      <c r="BD114" s="207"/>
      <c r="BE114" s="176" t="str">
        <f>+IF(COUNT(BE105:BE113)&lt;3,"N/A",IF(SUM(BE105:BE113)="","",RSQ(BE105:BE113,BF105:BF113)))</f>
        <v>N/A</v>
      </c>
      <c r="BV114" s="46"/>
      <c r="BW114" s="46"/>
      <c r="BX114" s="46"/>
    </row>
    <row r="115" spans="1:76" ht="18.75" thickTop="1" x14ac:dyDescent="0.25">
      <c r="A115" s="18">
        <f t="shared" si="120"/>
        <v>13</v>
      </c>
      <c r="C115" s="325"/>
      <c r="D115" s="114"/>
      <c r="E115" s="114"/>
      <c r="F115" s="114"/>
      <c r="G115" s="114"/>
      <c r="H115" s="114"/>
      <c r="I115" s="114"/>
      <c r="J115" s="114"/>
      <c r="K115" s="114"/>
      <c r="L115" s="114"/>
      <c r="M115" s="114"/>
      <c r="N115" s="114"/>
      <c r="O115" s="114"/>
      <c r="P115" s="114"/>
      <c r="Q115" s="114"/>
      <c r="R115" s="114"/>
      <c r="S115" s="114"/>
      <c r="T115" s="114"/>
      <c r="U115" s="114" t="str">
        <f t="shared" ref="U115" si="153">IF($P28="","",IF($P28=4,+$T28,""))</f>
        <v/>
      </c>
      <c r="AA115" s="31"/>
      <c r="AB115" s="31"/>
      <c r="AC115" s="31"/>
      <c r="AD115" s="31"/>
      <c r="AE115" s="31"/>
      <c r="AF115" s="31"/>
      <c r="AG115" s="31"/>
      <c r="AL115" s="102"/>
      <c r="AM115" s="102"/>
      <c r="AN115" s="102"/>
      <c r="AO115" s="208" t="s">
        <v>89</v>
      </c>
      <c r="AP115" s="208"/>
      <c r="AQ115" s="208"/>
      <c r="AS115" s="208" t="s">
        <v>90</v>
      </c>
      <c r="AW115" s="18" t="s">
        <v>91</v>
      </c>
      <c r="BA115" s="18" t="s">
        <v>93</v>
      </c>
      <c r="BE115" s="18" t="s">
        <v>92</v>
      </c>
      <c r="BV115" s="46"/>
      <c r="BW115" s="46"/>
      <c r="BX115" s="46"/>
    </row>
    <row r="116" spans="1:76" x14ac:dyDescent="0.25">
      <c r="A116" s="18">
        <f t="shared" si="120"/>
        <v>14</v>
      </c>
      <c r="C116" s="325"/>
      <c r="D116" s="114"/>
      <c r="E116" s="114"/>
      <c r="F116" s="114"/>
      <c r="G116" s="114"/>
      <c r="H116" s="114"/>
      <c r="I116" s="114"/>
      <c r="J116" s="114"/>
      <c r="K116" s="114"/>
      <c r="L116" s="114"/>
      <c r="M116" s="114"/>
      <c r="N116" s="114"/>
      <c r="O116" s="114"/>
      <c r="P116" s="114"/>
      <c r="Q116" s="114"/>
      <c r="R116" s="114"/>
      <c r="S116" s="114"/>
      <c r="T116" s="114"/>
      <c r="U116" s="114" t="str">
        <f t="shared" ref="U116" si="154">IF($P29="","",IF($P29=4,+$T29,""))</f>
        <v/>
      </c>
      <c r="AA116" s="31"/>
      <c r="AB116" s="31"/>
      <c r="AC116" s="31"/>
      <c r="AD116" s="31"/>
      <c r="AE116" s="31"/>
      <c r="AF116" s="31"/>
      <c r="AG116" s="31"/>
      <c r="AL116" s="102"/>
      <c r="AM116" s="102"/>
      <c r="AN116" s="102"/>
      <c r="AO116" s="208"/>
      <c r="AP116" s="208"/>
      <c r="AQ116" s="208"/>
      <c r="AS116" s="208"/>
      <c r="BV116" s="46"/>
      <c r="BW116" s="46"/>
      <c r="BX116" s="46"/>
    </row>
    <row r="117" spans="1:76" x14ac:dyDescent="0.25">
      <c r="A117" s="18">
        <f t="shared" si="120"/>
        <v>15</v>
      </c>
      <c r="C117" s="325"/>
      <c r="D117" s="114"/>
      <c r="E117" s="114"/>
      <c r="F117" s="114"/>
      <c r="G117" s="114"/>
      <c r="H117" s="114"/>
      <c r="I117" s="114"/>
      <c r="J117" s="114"/>
      <c r="K117" s="114"/>
      <c r="L117" s="114"/>
      <c r="M117" s="114"/>
      <c r="N117" s="114"/>
      <c r="O117" s="114"/>
      <c r="P117" s="114"/>
      <c r="Q117" s="114"/>
      <c r="R117" s="114"/>
      <c r="S117" s="114"/>
      <c r="T117" s="114"/>
      <c r="U117" s="114" t="str">
        <f t="shared" ref="U117" si="155">IF($P30="","",IF($P30=4,+$T30,""))</f>
        <v/>
      </c>
      <c r="AA117" s="31"/>
      <c r="AB117" s="31"/>
      <c r="AC117" s="31"/>
      <c r="AD117" s="31"/>
      <c r="AE117" s="31"/>
      <c r="AF117" s="31"/>
      <c r="AG117" s="31"/>
      <c r="AL117" s="102"/>
      <c r="AM117" s="102"/>
      <c r="AN117" s="102"/>
      <c r="AO117" s="208"/>
      <c r="AP117" s="208"/>
      <c r="AQ117" s="208"/>
      <c r="AS117" s="208"/>
      <c r="BV117" s="46"/>
      <c r="BW117" s="46"/>
      <c r="BX117" s="46"/>
    </row>
    <row r="118" spans="1:76" x14ac:dyDescent="0.25">
      <c r="A118" s="18">
        <f t="shared" si="120"/>
        <v>16</v>
      </c>
      <c r="C118" s="325"/>
      <c r="D118" s="114"/>
      <c r="E118" s="114"/>
      <c r="F118" s="114"/>
      <c r="G118" s="114"/>
      <c r="H118" s="114"/>
      <c r="I118" s="114"/>
      <c r="J118" s="114"/>
      <c r="K118" s="114"/>
      <c r="L118" s="114"/>
      <c r="M118" s="114"/>
      <c r="N118" s="114"/>
      <c r="O118" s="114"/>
      <c r="P118" s="114"/>
      <c r="Q118" s="114"/>
      <c r="R118" s="114"/>
      <c r="S118" s="114"/>
      <c r="T118" s="114"/>
      <c r="U118" s="114" t="str">
        <f t="shared" ref="U118" si="156">IF($P31="","",IF($P31=4,+$T31,""))</f>
        <v/>
      </c>
      <c r="AA118" s="31"/>
      <c r="AB118" s="31"/>
      <c r="AC118" s="31"/>
      <c r="AD118" s="31"/>
      <c r="AE118" s="31"/>
      <c r="AF118" s="31"/>
      <c r="AG118" s="31"/>
      <c r="AL118" s="102"/>
      <c r="AM118" s="102"/>
      <c r="AN118" s="102"/>
      <c r="AO118" s="208"/>
      <c r="AP118" s="208"/>
      <c r="AQ118" s="208"/>
      <c r="AS118" s="208"/>
      <c r="BV118" s="46"/>
      <c r="BW118" s="46"/>
      <c r="BX118" s="46"/>
    </row>
    <row r="119" spans="1:76" ht="18.75" customHeight="1" x14ac:dyDescent="0.25">
      <c r="A119" s="18">
        <f t="shared" si="120"/>
        <v>17</v>
      </c>
      <c r="C119" s="325"/>
      <c r="D119" s="114"/>
      <c r="E119" s="114"/>
      <c r="F119" s="114"/>
      <c r="G119" s="114"/>
      <c r="H119" s="114"/>
      <c r="I119" s="114"/>
      <c r="J119" s="114"/>
      <c r="K119" s="114"/>
      <c r="L119" s="114"/>
      <c r="M119" s="114"/>
      <c r="N119" s="114"/>
      <c r="O119" s="114"/>
      <c r="P119" s="114"/>
      <c r="Q119" s="114"/>
      <c r="R119" s="114"/>
      <c r="S119" s="114"/>
      <c r="T119" s="114"/>
      <c r="U119" s="114" t="str">
        <f t="shared" ref="U119" si="157">IF($P32="","",IF($P32=4,+$T32,""))</f>
        <v/>
      </c>
      <c r="AA119" s="31"/>
      <c r="AB119" s="31"/>
      <c r="AC119" s="31"/>
      <c r="AD119" s="31"/>
      <c r="AE119" s="31"/>
      <c r="AF119" s="31"/>
      <c r="AG119" s="31"/>
      <c r="AL119" s="24"/>
      <c r="AM119" s="24"/>
      <c r="AS119" s="476" t="s">
        <v>71</v>
      </c>
      <c r="AT119" s="476"/>
      <c r="AU119" s="476"/>
      <c r="AV119" s="476"/>
      <c r="AW119" s="476"/>
      <c r="BV119" s="46"/>
      <c r="BW119" s="46"/>
      <c r="BX119" s="46"/>
    </row>
    <row r="120" spans="1:76" x14ac:dyDescent="0.25">
      <c r="A120" s="18">
        <f t="shared" si="120"/>
        <v>18</v>
      </c>
      <c r="C120" s="325"/>
      <c r="D120" s="114"/>
      <c r="E120" s="114"/>
      <c r="F120" s="114"/>
      <c r="G120" s="114"/>
      <c r="H120" s="114"/>
      <c r="I120" s="114"/>
      <c r="J120" s="114"/>
      <c r="K120" s="114"/>
      <c r="L120" s="114"/>
      <c r="M120" s="114"/>
      <c r="N120" s="114"/>
      <c r="O120" s="114"/>
      <c r="P120" s="114"/>
      <c r="Q120" s="114"/>
      <c r="R120" s="114"/>
      <c r="S120" s="114"/>
      <c r="T120" s="114"/>
      <c r="U120" s="114" t="str">
        <f t="shared" ref="U120" si="158">IF($P33="","",IF($P33=4,+$T33,""))</f>
        <v/>
      </c>
      <c r="AA120" s="31"/>
      <c r="AB120" s="31"/>
      <c r="AC120" s="31"/>
      <c r="AD120" s="31"/>
      <c r="AE120" s="31"/>
      <c r="AF120" s="31"/>
      <c r="AG120" s="31"/>
      <c r="AL120" s="24"/>
      <c r="AM120" s="24"/>
      <c r="AO120" s="224"/>
      <c r="AS120" s="142"/>
      <c r="AT120" s="24"/>
      <c r="AU120" s="24"/>
      <c r="BV120" s="46"/>
      <c r="BW120" s="46"/>
      <c r="BX120" s="46"/>
    </row>
    <row r="121" spans="1:76" x14ac:dyDescent="0.25">
      <c r="A121" s="18">
        <f t="shared" si="120"/>
        <v>19</v>
      </c>
      <c r="C121" s="325"/>
      <c r="D121" s="114"/>
      <c r="E121" s="114"/>
      <c r="F121" s="114"/>
      <c r="G121" s="114"/>
      <c r="H121" s="114"/>
      <c r="I121" s="114"/>
      <c r="J121" s="114"/>
      <c r="K121" s="114"/>
      <c r="L121" s="114"/>
      <c r="M121" s="114"/>
      <c r="N121" s="114"/>
      <c r="O121" s="114"/>
      <c r="P121" s="114"/>
      <c r="Q121" s="114"/>
      <c r="R121" s="114"/>
      <c r="S121" s="114"/>
      <c r="T121" s="114"/>
      <c r="U121" s="114" t="str">
        <f t="shared" ref="U121" si="159">IF($P34="","",IF($P34=4,+$T34,""))</f>
        <v/>
      </c>
      <c r="AA121" s="31"/>
      <c r="AB121" s="31"/>
      <c r="AC121" s="31"/>
      <c r="AD121" s="31"/>
      <c r="AE121" s="31"/>
      <c r="AF121" s="31"/>
      <c r="AG121" s="31"/>
      <c r="AL121" s="24"/>
      <c r="AM121" s="24"/>
      <c r="AS121" s="142"/>
      <c r="AT121" s="24"/>
      <c r="AU121" s="24"/>
      <c r="BV121" s="46"/>
      <c r="BW121" s="46"/>
      <c r="BX121" s="46"/>
    </row>
    <row r="122" spans="1:76" x14ac:dyDescent="0.25">
      <c r="A122" s="18">
        <f t="shared" si="120"/>
        <v>20</v>
      </c>
      <c r="C122" s="325"/>
      <c r="D122" s="114"/>
      <c r="E122" s="114"/>
      <c r="F122" s="114"/>
      <c r="G122" s="114"/>
      <c r="H122" s="114"/>
      <c r="I122" s="114"/>
      <c r="J122" s="114"/>
      <c r="K122" s="114"/>
      <c r="L122" s="114"/>
      <c r="M122" s="114"/>
      <c r="N122" s="114"/>
      <c r="O122" s="114"/>
      <c r="P122" s="114"/>
      <c r="Q122" s="114"/>
      <c r="R122" s="114"/>
      <c r="S122" s="114"/>
      <c r="T122" s="114"/>
      <c r="U122" s="114" t="str">
        <f t="shared" ref="U122" si="160">IF($P35="","",IF($P35=4,+$T35,""))</f>
        <v/>
      </c>
      <c r="AA122" s="31"/>
      <c r="AB122" s="31"/>
      <c r="AC122" s="31"/>
      <c r="AD122" s="31"/>
      <c r="AE122" s="31"/>
      <c r="AF122" s="31"/>
      <c r="AG122" s="31"/>
      <c r="AL122" s="24"/>
      <c r="AM122" s="24"/>
      <c r="AN122" s="470" t="s">
        <v>51</v>
      </c>
      <c r="AO122" s="470"/>
      <c r="AP122" s="470"/>
      <c r="AQ122" s="144"/>
      <c r="AR122" s="470" t="s">
        <v>52</v>
      </c>
      <c r="AS122" s="470"/>
      <c r="AT122" s="470"/>
      <c r="AU122" s="16" t="s">
        <v>66</v>
      </c>
      <c r="AV122" s="470" t="s">
        <v>53</v>
      </c>
      <c r="AW122" s="470"/>
      <c r="AX122" s="470"/>
      <c r="AY122" s="144"/>
      <c r="AZ122" s="470" t="s">
        <v>54</v>
      </c>
      <c r="BA122" s="470"/>
      <c r="BB122" s="470"/>
      <c r="BC122" s="144"/>
      <c r="BD122" s="470" t="s">
        <v>55</v>
      </c>
      <c r="BE122" s="470"/>
      <c r="BF122" s="470"/>
      <c r="BV122" s="46"/>
      <c r="BW122" s="46"/>
      <c r="BX122" s="46"/>
    </row>
    <row r="123" spans="1:76" ht="19.5" customHeight="1" thickBot="1" x14ac:dyDescent="0.3">
      <c r="A123" s="18">
        <f t="shared" si="120"/>
        <v>21</v>
      </c>
      <c r="C123" s="325"/>
      <c r="D123" s="114"/>
      <c r="E123" s="114"/>
      <c r="F123" s="114"/>
      <c r="G123" s="114"/>
      <c r="H123" s="114"/>
      <c r="I123" s="114"/>
      <c r="J123" s="114"/>
      <c r="K123" s="114"/>
      <c r="L123" s="114"/>
      <c r="M123" s="114"/>
      <c r="N123" s="114"/>
      <c r="O123" s="114"/>
      <c r="P123" s="114"/>
      <c r="Q123" s="114"/>
      <c r="R123" s="114"/>
      <c r="S123" s="114"/>
      <c r="T123" s="114"/>
      <c r="U123" s="114" t="str">
        <f t="shared" ref="U123" si="161">IF($P36="","",IF($P36=4,+$T36,""))</f>
        <v/>
      </c>
      <c r="AA123" s="31"/>
      <c r="AB123" s="31"/>
      <c r="AC123" s="31"/>
      <c r="AD123" s="31"/>
      <c r="AE123" s="31"/>
      <c r="AF123" s="31"/>
      <c r="AG123" s="31"/>
      <c r="AL123" s="148"/>
      <c r="AM123" s="210" t="s">
        <v>65</v>
      </c>
      <c r="AN123" s="152" t="s">
        <v>26</v>
      </c>
      <c r="AO123" s="154" t="str">
        <f>+AO103</f>
        <v>count ratio</v>
      </c>
      <c r="AP123" s="152" t="s">
        <v>27</v>
      </c>
      <c r="AQ123" s="211" t="s">
        <v>65</v>
      </c>
      <c r="AR123" s="152" t="s">
        <v>26</v>
      </c>
      <c r="AS123" s="154" t="str">
        <f>+AO123</f>
        <v>count ratio</v>
      </c>
      <c r="AT123" s="152" t="s">
        <v>27</v>
      </c>
      <c r="AU123" s="211" t="s">
        <v>65</v>
      </c>
      <c r="AV123" s="152" t="s">
        <v>26</v>
      </c>
      <c r="AW123" s="154" t="str">
        <f>+AS123</f>
        <v>count ratio</v>
      </c>
      <c r="AX123" s="152" t="s">
        <v>27</v>
      </c>
      <c r="AY123" s="211" t="s">
        <v>65</v>
      </c>
      <c r="AZ123" s="152" t="s">
        <v>26</v>
      </c>
      <c r="BA123" s="151" t="str">
        <f>+AW123</f>
        <v>count ratio</v>
      </c>
      <c r="BB123" s="152" t="s">
        <v>27</v>
      </c>
      <c r="BC123" s="211" t="s">
        <v>65</v>
      </c>
      <c r="BD123" s="152" t="s">
        <v>26</v>
      </c>
      <c r="BE123" s="154" t="str">
        <f>+BA123</f>
        <v>count ratio</v>
      </c>
      <c r="BF123" s="152" t="s">
        <v>27</v>
      </c>
      <c r="BV123" s="46"/>
      <c r="BW123" s="46"/>
      <c r="BX123" s="46"/>
    </row>
    <row r="124" spans="1:76" ht="19.5" thickTop="1" thickBot="1" x14ac:dyDescent="0.3">
      <c r="A124" s="18">
        <f t="shared" si="120"/>
        <v>22</v>
      </c>
      <c r="C124" s="325"/>
      <c r="D124" s="114"/>
      <c r="E124" s="114"/>
      <c r="F124" s="114"/>
      <c r="G124" s="114"/>
      <c r="H124" s="114"/>
      <c r="I124" s="114"/>
      <c r="J124" s="114"/>
      <c r="K124" s="114"/>
      <c r="L124" s="114"/>
      <c r="M124" s="114"/>
      <c r="N124" s="114"/>
      <c r="O124" s="114"/>
      <c r="P124" s="114"/>
      <c r="Q124" s="114"/>
      <c r="R124" s="114"/>
      <c r="S124" s="114"/>
      <c r="T124" s="114"/>
      <c r="U124" s="114" t="str">
        <f t="shared" ref="U124" si="162">IF($P37="","",IF($P37=4,+$T37,""))</f>
        <v/>
      </c>
      <c r="AA124" s="31"/>
      <c r="AB124" s="31"/>
      <c r="AC124" s="31"/>
      <c r="AD124" s="31"/>
      <c r="AE124" s="31"/>
      <c r="AF124" s="31"/>
      <c r="AG124" s="31"/>
      <c r="AK124" s="158">
        <f t="shared" ref="AK124:AK153" si="163">+IF(E16="","",E16)</f>
        <v>42360</v>
      </c>
      <c r="AL124" s="159">
        <v>1</v>
      </c>
      <c r="AM124" s="85" t="str">
        <f t="shared" ref="AM124:AM153" si="164">+IF($L16="","",IF($L16=3,3,""))</f>
        <v/>
      </c>
      <c r="AN124" s="160" t="str">
        <f t="shared" ref="AN124:AN153" si="165">+IF(AND(AM124=3,P16=4),4,"")</f>
        <v/>
      </c>
      <c r="AO124" s="431" t="str">
        <f>+IF(AK124="","",IF(AND(AM124=3,AN124=4),+((Q16+VLOOKUP($AK124,$T$69:$U$73,2))/2),""))</f>
        <v/>
      </c>
      <c r="AP124" s="196" t="str">
        <f>+IF(AND(AM124=3,P16=4),+S16,"")</f>
        <v/>
      </c>
      <c r="AQ124" s="85" t="str">
        <f t="shared" ref="AQ124:AQ153" si="166">+IF($L16="","",IF($L16=3,3,""))</f>
        <v/>
      </c>
      <c r="AR124" s="160" t="str">
        <f t="shared" ref="AR124:AR153" si="167">+IF(AND(AQ124=3,P16=6),6,"")</f>
        <v/>
      </c>
      <c r="AS124" s="197" t="str">
        <f>+IF(AK124="","",IF(AND(AQ124=3,P16=6),+Q16/VLOOKUP($AK124,$T$69:$U$73,2),""))</f>
        <v/>
      </c>
      <c r="AT124" s="160" t="str">
        <f>+IF(AND(AQ124=3,P16=6),+S16,"")</f>
        <v/>
      </c>
      <c r="AU124" s="85" t="str">
        <f t="shared" ref="AU124:AU153" si="168">+IF($L16="","",IF($L16=3,3,""))</f>
        <v/>
      </c>
      <c r="AV124" s="160" t="str">
        <f t="shared" ref="AV124:AV153" si="169">+IF(AND(AU124=3,P16=8),8,"")</f>
        <v/>
      </c>
      <c r="AW124" s="197" t="str">
        <f>+IF(AK124="","",IF(AND(AU124=3,P16=8),+Q16/VLOOKUP($AK124,$T$69:$U$73,2),""))</f>
        <v/>
      </c>
      <c r="AX124" s="160" t="str">
        <f>+IF(AND(AU124=3,P16=8),+S16,"")</f>
        <v/>
      </c>
      <c r="AY124" s="85" t="str">
        <f t="shared" ref="AY124:AY153" si="170">+IF($L16="","",IF($L16=3,3,""))</f>
        <v/>
      </c>
      <c r="AZ124" s="160" t="str">
        <f t="shared" ref="AZ124:AZ153" si="171">+IF(AND(AY124=3,P16=10),10,"")</f>
        <v/>
      </c>
      <c r="BA124" s="163" t="str">
        <f>+IF(AK124="","",IF(AND(AY124=3,P16=10),+Q16/VLOOKUP($AK124,$T$69:$U$73,2),""))</f>
        <v/>
      </c>
      <c r="BB124" s="160" t="str">
        <f>+IF(AND(AY124=3,P16=10),+S16,"")</f>
        <v/>
      </c>
      <c r="BC124" s="85" t="str">
        <f t="shared" ref="BC124:BC153" si="172">+IF($L16="","",IF($L16=3,3,""))</f>
        <v/>
      </c>
      <c r="BD124" s="160" t="str">
        <f t="shared" ref="BD124:BD153" si="173">+IF(AND(BC124=3,P16=12),12,"")</f>
        <v/>
      </c>
      <c r="BE124" s="163" t="str">
        <f>+IF(AK124="","",IF(AND(BC124=3,P16=12),+Q16/VLOOKUP($AK124,$T$69:$U$73,2),""))</f>
        <v/>
      </c>
      <c r="BF124" s="160" t="str">
        <f>+IF(AND(BC124=3,P16=12),+S16,"")</f>
        <v/>
      </c>
      <c r="BG124" s="49"/>
      <c r="BV124" s="46"/>
      <c r="BW124" s="46"/>
      <c r="BX124" s="46"/>
    </row>
    <row r="125" spans="1:76" ht="19.5" thickTop="1" thickBot="1" x14ac:dyDescent="0.3">
      <c r="A125" s="18">
        <f t="shared" si="120"/>
        <v>23</v>
      </c>
      <c r="C125" s="325"/>
      <c r="D125" s="114"/>
      <c r="E125" s="114"/>
      <c r="F125" s="114"/>
      <c r="G125" s="114"/>
      <c r="H125" s="114"/>
      <c r="I125" s="114"/>
      <c r="J125" s="114"/>
      <c r="K125" s="114"/>
      <c r="L125" s="114"/>
      <c r="M125" s="114"/>
      <c r="N125" s="114"/>
      <c r="O125" s="114"/>
      <c r="P125" s="114"/>
      <c r="Q125" s="114"/>
      <c r="R125" s="114"/>
      <c r="S125" s="114"/>
      <c r="T125" s="114"/>
      <c r="U125" s="114" t="str">
        <f t="shared" ref="U125" si="174">IF($P38="","",IF($P38=4,+$T38,""))</f>
        <v/>
      </c>
      <c r="AA125" s="31"/>
      <c r="AB125" s="31"/>
      <c r="AC125" s="31"/>
      <c r="AD125" s="31"/>
      <c r="AE125" s="31"/>
      <c r="AF125" s="31"/>
      <c r="AG125" s="31"/>
      <c r="AK125" s="158">
        <f t="shared" si="163"/>
        <v>42360</v>
      </c>
      <c r="AL125" s="159">
        <f>1+AL124</f>
        <v>2</v>
      </c>
      <c r="AM125" s="166" t="str">
        <f t="shared" si="164"/>
        <v/>
      </c>
      <c r="AN125" s="163" t="str">
        <f t="shared" si="165"/>
        <v/>
      </c>
      <c r="AO125" s="431" t="str">
        <f t="shared" ref="AO125:AO153" si="175">+IF(AK125="","",IF(AND(AM125=3,AN125=4),+((Q17+VLOOKUP($AK125,$T$69:$U$73,2))/2),""))</f>
        <v/>
      </c>
      <c r="AP125" s="196" t="str">
        <f t="shared" ref="AP125:AP153" si="176">+IF(AND(AM125=3,P17=4),+S17,"")</f>
        <v/>
      </c>
      <c r="AQ125" s="166" t="str">
        <f t="shared" si="166"/>
        <v/>
      </c>
      <c r="AR125" s="163" t="str">
        <f t="shared" si="167"/>
        <v/>
      </c>
      <c r="AS125" s="197" t="str">
        <f t="shared" ref="AS125:AS153" si="177">+IF(AK125="","",IF(AND(AQ125=3,P17=6),+Q17/VLOOKUP($AK125,$T$69:$U$73,2),""))</f>
        <v/>
      </c>
      <c r="AT125" s="160" t="str">
        <f t="shared" ref="AT125:AT153" si="178">+IF(AND(AQ125=3,P17=6),+S17,"")</f>
        <v/>
      </c>
      <c r="AU125" s="166" t="str">
        <f t="shared" si="168"/>
        <v/>
      </c>
      <c r="AV125" s="163" t="str">
        <f t="shared" si="169"/>
        <v/>
      </c>
      <c r="AW125" s="197" t="str">
        <f t="shared" ref="AW125:AW153" si="179">+IF(AK125="","",IF(AND(AU125=3,P17=8),+Q17/VLOOKUP($AK125,$T$69:$U$73,2),""))</f>
        <v/>
      </c>
      <c r="AX125" s="160" t="str">
        <f t="shared" ref="AX125:AX153" si="180">+IF(AND(AU125=3,P17=8),+S17,"")</f>
        <v/>
      </c>
      <c r="AY125" s="166" t="str">
        <f t="shared" si="170"/>
        <v/>
      </c>
      <c r="AZ125" s="163" t="str">
        <f t="shared" si="171"/>
        <v/>
      </c>
      <c r="BA125" s="163" t="str">
        <f t="shared" ref="BA125:BA153" si="181">+IF(AK125="","",IF(AND(AY125=3,P17=10),+Q17/VLOOKUP($AK125,$T$69:$U$73,2),""))</f>
        <v/>
      </c>
      <c r="BB125" s="160" t="str">
        <f t="shared" ref="BB125:BB153" si="182">+IF(AND(AY125=3,P17=10),+S17,"")</f>
        <v/>
      </c>
      <c r="BC125" s="166" t="str">
        <f t="shared" si="172"/>
        <v/>
      </c>
      <c r="BD125" s="163" t="str">
        <f t="shared" si="173"/>
        <v/>
      </c>
      <c r="BE125" s="163" t="str">
        <f t="shared" ref="BE125:BE153" si="183">+IF(AK125="","",IF(AND(BC125=3,P17=12),+Q17/VLOOKUP($AK125,$T$69:$U$73,2),""))</f>
        <v/>
      </c>
      <c r="BF125" s="160" t="str">
        <f t="shared" ref="BF125:BF153" si="184">+IF(AND(BC125=3,P17=12),+S17,"")</f>
        <v/>
      </c>
      <c r="BG125" s="49"/>
      <c r="BV125" s="46"/>
      <c r="BW125" s="46"/>
      <c r="BX125" s="46"/>
    </row>
    <row r="126" spans="1:76" ht="19.5" thickTop="1" thickBot="1" x14ac:dyDescent="0.3">
      <c r="A126" s="18">
        <f t="shared" si="120"/>
        <v>24</v>
      </c>
      <c r="C126" s="325"/>
      <c r="D126" s="114"/>
      <c r="E126" s="114"/>
      <c r="F126" s="114"/>
      <c r="G126" s="114"/>
      <c r="H126" s="114"/>
      <c r="I126" s="114"/>
      <c r="J126" s="114"/>
      <c r="K126" s="114"/>
      <c r="L126" s="114"/>
      <c r="M126" s="114"/>
      <c r="N126" s="114"/>
      <c r="O126" s="114"/>
      <c r="P126" s="114"/>
      <c r="Q126" s="114"/>
      <c r="R126" s="114"/>
      <c r="S126" s="114"/>
      <c r="T126" s="114"/>
      <c r="U126" s="114" t="str">
        <f t="shared" ref="U126" si="185">IF($P39="","",IF($P39=4,+$T39,""))</f>
        <v/>
      </c>
      <c r="AA126" s="31"/>
      <c r="AB126" s="31"/>
      <c r="AC126" s="31"/>
      <c r="AD126" s="31"/>
      <c r="AE126" s="31"/>
      <c r="AF126" s="31"/>
      <c r="AG126" s="31"/>
      <c r="AK126" s="158">
        <f t="shared" si="163"/>
        <v>42360</v>
      </c>
      <c r="AL126" s="159">
        <f t="shared" ref="AL126:AL153" si="186">1+AL125</f>
        <v>3</v>
      </c>
      <c r="AM126" s="166" t="str">
        <f t="shared" si="164"/>
        <v/>
      </c>
      <c r="AN126" s="163" t="str">
        <f t="shared" si="165"/>
        <v/>
      </c>
      <c r="AO126" s="431" t="str">
        <f t="shared" si="175"/>
        <v/>
      </c>
      <c r="AP126" s="196" t="str">
        <f t="shared" si="176"/>
        <v/>
      </c>
      <c r="AQ126" s="166" t="str">
        <f t="shared" si="166"/>
        <v/>
      </c>
      <c r="AR126" s="163" t="str">
        <f t="shared" si="167"/>
        <v/>
      </c>
      <c r="AS126" s="197" t="str">
        <f t="shared" si="177"/>
        <v/>
      </c>
      <c r="AT126" s="160" t="str">
        <f t="shared" si="178"/>
        <v/>
      </c>
      <c r="AU126" s="166" t="str">
        <f t="shared" si="168"/>
        <v/>
      </c>
      <c r="AV126" s="163" t="str">
        <f t="shared" si="169"/>
        <v/>
      </c>
      <c r="AW126" s="197" t="str">
        <f t="shared" si="179"/>
        <v/>
      </c>
      <c r="AX126" s="160" t="str">
        <f t="shared" si="180"/>
        <v/>
      </c>
      <c r="AY126" s="166" t="str">
        <f t="shared" si="170"/>
        <v/>
      </c>
      <c r="AZ126" s="163" t="str">
        <f t="shared" si="171"/>
        <v/>
      </c>
      <c r="BA126" s="163" t="str">
        <f t="shared" si="181"/>
        <v/>
      </c>
      <c r="BB126" s="160" t="str">
        <f t="shared" si="182"/>
        <v/>
      </c>
      <c r="BC126" s="166" t="str">
        <f t="shared" si="172"/>
        <v/>
      </c>
      <c r="BD126" s="163" t="str">
        <f t="shared" si="173"/>
        <v/>
      </c>
      <c r="BE126" s="163" t="str">
        <f t="shared" si="183"/>
        <v/>
      </c>
      <c r="BF126" s="160" t="str">
        <f t="shared" si="184"/>
        <v/>
      </c>
      <c r="BG126" s="49"/>
      <c r="BV126" s="46"/>
      <c r="BW126" s="46"/>
      <c r="BX126" s="46"/>
    </row>
    <row r="127" spans="1:76" ht="19.5" thickTop="1" thickBot="1" x14ac:dyDescent="0.3">
      <c r="A127" s="18">
        <f>+A126+1</f>
        <v>25</v>
      </c>
      <c r="C127" s="325"/>
      <c r="D127" s="114"/>
      <c r="E127" s="114"/>
      <c r="F127" s="114"/>
      <c r="G127" s="114"/>
      <c r="H127" s="114"/>
      <c r="I127" s="114"/>
      <c r="J127" s="114"/>
      <c r="K127" s="114"/>
      <c r="L127" s="114"/>
      <c r="M127" s="114"/>
      <c r="N127" s="114"/>
      <c r="O127" s="114"/>
      <c r="P127" s="114"/>
      <c r="Q127" s="114"/>
      <c r="R127" s="114"/>
      <c r="S127" s="114"/>
      <c r="T127" s="114"/>
      <c r="U127" s="114" t="str">
        <f t="shared" ref="U127" si="187">IF($P40="","",IF($P40=4,+$T40,""))</f>
        <v/>
      </c>
      <c r="AA127" s="31"/>
      <c r="AB127" s="31"/>
      <c r="AC127" s="31"/>
      <c r="AD127" s="31"/>
      <c r="AE127" s="31"/>
      <c r="AF127" s="31"/>
      <c r="AG127" s="31"/>
      <c r="AK127" s="158">
        <f t="shared" si="163"/>
        <v>42360</v>
      </c>
      <c r="AL127" s="159">
        <f t="shared" si="186"/>
        <v>4</v>
      </c>
      <c r="AM127" s="166" t="str">
        <f t="shared" si="164"/>
        <v/>
      </c>
      <c r="AN127" s="163" t="str">
        <f t="shared" si="165"/>
        <v/>
      </c>
      <c r="AO127" s="431" t="str">
        <f t="shared" si="175"/>
        <v/>
      </c>
      <c r="AP127" s="196" t="str">
        <f t="shared" si="176"/>
        <v/>
      </c>
      <c r="AQ127" s="166" t="str">
        <f t="shared" si="166"/>
        <v/>
      </c>
      <c r="AR127" s="163" t="str">
        <f t="shared" si="167"/>
        <v/>
      </c>
      <c r="AS127" s="197" t="str">
        <f t="shared" si="177"/>
        <v/>
      </c>
      <c r="AT127" s="160" t="str">
        <f t="shared" si="178"/>
        <v/>
      </c>
      <c r="AU127" s="166" t="str">
        <f t="shared" si="168"/>
        <v/>
      </c>
      <c r="AV127" s="163" t="str">
        <f t="shared" si="169"/>
        <v/>
      </c>
      <c r="AW127" s="197" t="str">
        <f t="shared" si="179"/>
        <v/>
      </c>
      <c r="AX127" s="160" t="str">
        <f t="shared" si="180"/>
        <v/>
      </c>
      <c r="AY127" s="166" t="str">
        <f t="shared" si="170"/>
        <v/>
      </c>
      <c r="AZ127" s="163" t="str">
        <f t="shared" si="171"/>
        <v/>
      </c>
      <c r="BA127" s="163" t="str">
        <f t="shared" si="181"/>
        <v/>
      </c>
      <c r="BB127" s="160" t="str">
        <f t="shared" si="182"/>
        <v/>
      </c>
      <c r="BC127" s="166" t="str">
        <f t="shared" si="172"/>
        <v/>
      </c>
      <c r="BD127" s="163" t="str">
        <f t="shared" si="173"/>
        <v/>
      </c>
      <c r="BE127" s="163" t="str">
        <f t="shared" si="183"/>
        <v/>
      </c>
      <c r="BF127" s="160" t="str">
        <f t="shared" si="184"/>
        <v/>
      </c>
      <c r="BG127" s="49"/>
      <c r="BV127" s="46"/>
      <c r="BW127" s="46"/>
      <c r="BX127" s="46"/>
    </row>
    <row r="128" spans="1:76" ht="19.5" thickTop="1" thickBot="1" x14ac:dyDescent="0.3">
      <c r="A128" s="18">
        <f t="shared" si="120"/>
        <v>26</v>
      </c>
      <c r="C128" s="325"/>
      <c r="D128" s="114"/>
      <c r="E128" s="114"/>
      <c r="F128" s="114"/>
      <c r="G128" s="114"/>
      <c r="H128" s="114"/>
      <c r="I128" s="114"/>
      <c r="J128" s="114"/>
      <c r="K128" s="114"/>
      <c r="L128" s="114"/>
      <c r="M128" s="114"/>
      <c r="N128" s="114"/>
      <c r="O128" s="114"/>
      <c r="P128" s="114"/>
      <c r="Q128" s="114"/>
      <c r="R128" s="114"/>
      <c r="S128" s="114"/>
      <c r="T128" s="114"/>
      <c r="U128" s="114" t="str">
        <f t="shared" ref="U128" si="188">IF($P41="","",IF($P41=4,+$T41,""))</f>
        <v/>
      </c>
      <c r="AA128" s="31"/>
      <c r="AB128" s="31"/>
      <c r="AC128" s="31"/>
      <c r="AD128" s="31"/>
      <c r="AE128" s="31"/>
      <c r="AF128" s="31"/>
      <c r="AG128" s="31"/>
      <c r="AK128" s="158">
        <f t="shared" si="163"/>
        <v>42360</v>
      </c>
      <c r="AL128" s="159">
        <f t="shared" si="186"/>
        <v>5</v>
      </c>
      <c r="AM128" s="166" t="str">
        <f t="shared" si="164"/>
        <v/>
      </c>
      <c r="AN128" s="163" t="str">
        <f t="shared" si="165"/>
        <v/>
      </c>
      <c r="AO128" s="431" t="str">
        <f t="shared" si="175"/>
        <v/>
      </c>
      <c r="AP128" s="196" t="str">
        <f t="shared" si="176"/>
        <v/>
      </c>
      <c r="AQ128" s="166" t="str">
        <f t="shared" si="166"/>
        <v/>
      </c>
      <c r="AR128" s="163" t="str">
        <f t="shared" si="167"/>
        <v/>
      </c>
      <c r="AS128" s="197" t="str">
        <f t="shared" si="177"/>
        <v/>
      </c>
      <c r="AT128" s="160" t="str">
        <f t="shared" si="178"/>
        <v/>
      </c>
      <c r="AU128" s="166" t="str">
        <f t="shared" si="168"/>
        <v/>
      </c>
      <c r="AV128" s="163" t="str">
        <f t="shared" si="169"/>
        <v/>
      </c>
      <c r="AW128" s="197" t="str">
        <f t="shared" si="179"/>
        <v/>
      </c>
      <c r="AX128" s="160" t="str">
        <f t="shared" si="180"/>
        <v/>
      </c>
      <c r="AY128" s="166" t="str">
        <f t="shared" si="170"/>
        <v/>
      </c>
      <c r="AZ128" s="163" t="str">
        <f t="shared" si="171"/>
        <v/>
      </c>
      <c r="BA128" s="163" t="str">
        <f t="shared" si="181"/>
        <v/>
      </c>
      <c r="BB128" s="160" t="str">
        <f t="shared" si="182"/>
        <v/>
      </c>
      <c r="BC128" s="166" t="str">
        <f t="shared" si="172"/>
        <v/>
      </c>
      <c r="BD128" s="163" t="str">
        <f t="shared" si="173"/>
        <v/>
      </c>
      <c r="BE128" s="163" t="str">
        <f t="shared" si="183"/>
        <v/>
      </c>
      <c r="BF128" s="160" t="str">
        <f t="shared" si="184"/>
        <v/>
      </c>
      <c r="BG128" s="49"/>
      <c r="BV128" s="46"/>
      <c r="BW128" s="46"/>
      <c r="BX128" s="46"/>
    </row>
    <row r="129" spans="1:76" ht="19.5" thickTop="1" thickBot="1" x14ac:dyDescent="0.3">
      <c r="A129" s="18">
        <f t="shared" si="120"/>
        <v>27</v>
      </c>
      <c r="C129" s="325"/>
      <c r="D129" s="114"/>
      <c r="E129" s="114"/>
      <c r="F129" s="114"/>
      <c r="G129" s="114"/>
      <c r="H129" s="114"/>
      <c r="I129" s="114"/>
      <c r="J129" s="114"/>
      <c r="K129" s="114"/>
      <c r="L129" s="114"/>
      <c r="M129" s="114"/>
      <c r="N129" s="114"/>
      <c r="O129" s="114"/>
      <c r="P129" s="114"/>
      <c r="Q129" s="114"/>
      <c r="R129" s="114"/>
      <c r="S129" s="114"/>
      <c r="T129" s="114"/>
      <c r="U129" s="114" t="str">
        <f t="shared" ref="U129" si="189">IF($P42="","",IF($P42=4,+$T42,""))</f>
        <v/>
      </c>
      <c r="AA129" s="31"/>
      <c r="AB129" s="31"/>
      <c r="AC129" s="31"/>
      <c r="AD129" s="31"/>
      <c r="AE129" s="31"/>
      <c r="AF129" s="31"/>
      <c r="AG129" s="31"/>
      <c r="AK129" s="158">
        <f t="shared" si="163"/>
        <v>42360</v>
      </c>
      <c r="AL129" s="159">
        <f t="shared" si="186"/>
        <v>6</v>
      </c>
      <c r="AM129" s="166" t="str">
        <f t="shared" si="164"/>
        <v/>
      </c>
      <c r="AN129" s="163" t="str">
        <f t="shared" si="165"/>
        <v/>
      </c>
      <c r="AO129" s="431" t="str">
        <f t="shared" si="175"/>
        <v/>
      </c>
      <c r="AP129" s="196" t="str">
        <f t="shared" si="176"/>
        <v/>
      </c>
      <c r="AQ129" s="166" t="str">
        <f t="shared" si="166"/>
        <v/>
      </c>
      <c r="AR129" s="163" t="str">
        <f t="shared" si="167"/>
        <v/>
      </c>
      <c r="AS129" s="197" t="str">
        <f t="shared" si="177"/>
        <v/>
      </c>
      <c r="AT129" s="160" t="str">
        <f t="shared" si="178"/>
        <v/>
      </c>
      <c r="AU129" s="166" t="str">
        <f t="shared" si="168"/>
        <v/>
      </c>
      <c r="AV129" s="163" t="str">
        <f t="shared" si="169"/>
        <v/>
      </c>
      <c r="AW129" s="197" t="str">
        <f t="shared" si="179"/>
        <v/>
      </c>
      <c r="AX129" s="160" t="str">
        <f t="shared" si="180"/>
        <v/>
      </c>
      <c r="AY129" s="166" t="str">
        <f t="shared" si="170"/>
        <v/>
      </c>
      <c r="AZ129" s="163" t="str">
        <f t="shared" si="171"/>
        <v/>
      </c>
      <c r="BA129" s="163" t="str">
        <f t="shared" si="181"/>
        <v/>
      </c>
      <c r="BB129" s="160" t="str">
        <f t="shared" si="182"/>
        <v/>
      </c>
      <c r="BC129" s="166" t="str">
        <f t="shared" si="172"/>
        <v/>
      </c>
      <c r="BD129" s="163" t="str">
        <f t="shared" si="173"/>
        <v/>
      </c>
      <c r="BE129" s="163" t="str">
        <f t="shared" si="183"/>
        <v/>
      </c>
      <c r="BF129" s="160" t="str">
        <f t="shared" si="184"/>
        <v/>
      </c>
      <c r="BG129" s="49"/>
      <c r="BV129" s="46"/>
      <c r="BW129" s="46"/>
      <c r="BX129" s="46"/>
    </row>
    <row r="130" spans="1:76" ht="19.5" thickTop="1" thickBot="1" x14ac:dyDescent="0.3">
      <c r="A130" s="18">
        <f t="shared" si="120"/>
        <v>28</v>
      </c>
      <c r="C130" s="325"/>
      <c r="D130" s="114"/>
      <c r="E130" s="114"/>
      <c r="F130" s="114"/>
      <c r="G130" s="114"/>
      <c r="H130" s="114"/>
      <c r="I130" s="114"/>
      <c r="J130" s="114"/>
      <c r="K130" s="114"/>
      <c r="L130" s="114"/>
      <c r="M130" s="114"/>
      <c r="N130" s="114"/>
      <c r="O130" s="114"/>
      <c r="P130" s="114"/>
      <c r="Q130" s="114"/>
      <c r="R130" s="114"/>
      <c r="S130" s="114"/>
      <c r="T130" s="114"/>
      <c r="U130" s="114" t="str">
        <f t="shared" ref="U130" si="190">IF($P43="","",IF($P43=4,+$T43,""))</f>
        <v/>
      </c>
      <c r="AA130" s="31"/>
      <c r="AB130" s="31"/>
      <c r="AC130" s="31"/>
      <c r="AD130" s="31"/>
      <c r="AE130" s="31"/>
      <c r="AF130" s="31"/>
      <c r="AG130" s="31"/>
      <c r="AK130" s="158">
        <f t="shared" si="163"/>
        <v>42361</v>
      </c>
      <c r="AL130" s="159">
        <f t="shared" si="186"/>
        <v>7</v>
      </c>
      <c r="AM130" s="166" t="str">
        <f t="shared" si="164"/>
        <v/>
      </c>
      <c r="AN130" s="163" t="str">
        <f t="shared" si="165"/>
        <v/>
      </c>
      <c r="AO130" s="431" t="str">
        <f t="shared" si="175"/>
        <v/>
      </c>
      <c r="AP130" s="196" t="str">
        <f t="shared" si="176"/>
        <v/>
      </c>
      <c r="AQ130" s="166" t="str">
        <f t="shared" si="166"/>
        <v/>
      </c>
      <c r="AR130" s="163" t="str">
        <f t="shared" si="167"/>
        <v/>
      </c>
      <c r="AS130" s="197" t="str">
        <f t="shared" si="177"/>
        <v/>
      </c>
      <c r="AT130" s="160" t="str">
        <f t="shared" si="178"/>
        <v/>
      </c>
      <c r="AU130" s="166" t="str">
        <f t="shared" si="168"/>
        <v/>
      </c>
      <c r="AV130" s="163" t="str">
        <f t="shared" si="169"/>
        <v/>
      </c>
      <c r="AW130" s="197" t="str">
        <f t="shared" si="179"/>
        <v/>
      </c>
      <c r="AX130" s="160" t="str">
        <f t="shared" si="180"/>
        <v/>
      </c>
      <c r="AY130" s="166" t="str">
        <f t="shared" si="170"/>
        <v/>
      </c>
      <c r="AZ130" s="163" t="str">
        <f t="shared" si="171"/>
        <v/>
      </c>
      <c r="BA130" s="163" t="str">
        <f t="shared" si="181"/>
        <v/>
      </c>
      <c r="BB130" s="160" t="str">
        <f t="shared" si="182"/>
        <v/>
      </c>
      <c r="BC130" s="166" t="str">
        <f t="shared" si="172"/>
        <v/>
      </c>
      <c r="BD130" s="163" t="str">
        <f t="shared" si="173"/>
        <v/>
      </c>
      <c r="BE130" s="163" t="str">
        <f t="shared" si="183"/>
        <v/>
      </c>
      <c r="BF130" s="160" t="str">
        <f t="shared" si="184"/>
        <v/>
      </c>
      <c r="BG130" s="49"/>
      <c r="BV130" s="46"/>
      <c r="BW130" s="46"/>
      <c r="BX130" s="46"/>
    </row>
    <row r="131" spans="1:76" ht="21" customHeight="1" thickTop="1" thickBot="1" x14ac:dyDescent="0.3">
      <c r="A131" s="18">
        <f t="shared" si="120"/>
        <v>29</v>
      </c>
      <c r="C131" s="325"/>
      <c r="D131" s="114"/>
      <c r="E131" s="114"/>
      <c r="F131" s="114"/>
      <c r="G131" s="114"/>
      <c r="H131" s="114"/>
      <c r="I131" s="114"/>
      <c r="J131" s="114"/>
      <c r="K131" s="114"/>
      <c r="L131" s="114"/>
      <c r="M131" s="114"/>
      <c r="N131" s="114"/>
      <c r="O131" s="114"/>
      <c r="P131" s="114"/>
      <c r="Q131" s="114"/>
      <c r="R131" s="114"/>
      <c r="S131" s="114"/>
      <c r="T131" s="114"/>
      <c r="U131" s="114" t="str">
        <f t="shared" ref="U131" si="191">IF($P44="","",IF($P44=4,+$T44,""))</f>
        <v/>
      </c>
      <c r="AA131" s="31"/>
      <c r="AB131" s="31"/>
      <c r="AC131" s="31"/>
      <c r="AD131" s="31"/>
      <c r="AE131" s="31"/>
      <c r="AF131" s="31"/>
      <c r="AG131" s="31"/>
      <c r="AK131" s="158">
        <f t="shared" si="163"/>
        <v>42361</v>
      </c>
      <c r="AL131" s="159">
        <f t="shared" si="186"/>
        <v>8</v>
      </c>
      <c r="AM131" s="166" t="str">
        <f t="shared" si="164"/>
        <v/>
      </c>
      <c r="AN131" s="163" t="str">
        <f t="shared" si="165"/>
        <v/>
      </c>
      <c r="AO131" s="431" t="str">
        <f t="shared" si="175"/>
        <v/>
      </c>
      <c r="AP131" s="196" t="str">
        <f t="shared" si="176"/>
        <v/>
      </c>
      <c r="AQ131" s="166" t="str">
        <f t="shared" si="166"/>
        <v/>
      </c>
      <c r="AR131" s="163" t="str">
        <f t="shared" si="167"/>
        <v/>
      </c>
      <c r="AS131" s="197" t="str">
        <f t="shared" si="177"/>
        <v/>
      </c>
      <c r="AT131" s="160" t="str">
        <f t="shared" si="178"/>
        <v/>
      </c>
      <c r="AU131" s="166" t="str">
        <f t="shared" si="168"/>
        <v/>
      </c>
      <c r="AV131" s="163" t="str">
        <f t="shared" si="169"/>
        <v/>
      </c>
      <c r="AW131" s="197" t="str">
        <f t="shared" si="179"/>
        <v/>
      </c>
      <c r="AX131" s="160" t="str">
        <f t="shared" si="180"/>
        <v/>
      </c>
      <c r="AY131" s="166" t="str">
        <f t="shared" si="170"/>
        <v/>
      </c>
      <c r="AZ131" s="163" t="str">
        <f t="shared" si="171"/>
        <v/>
      </c>
      <c r="BA131" s="163" t="str">
        <f t="shared" si="181"/>
        <v/>
      </c>
      <c r="BB131" s="160" t="str">
        <f t="shared" si="182"/>
        <v/>
      </c>
      <c r="BC131" s="166" t="str">
        <f t="shared" si="172"/>
        <v/>
      </c>
      <c r="BD131" s="163" t="str">
        <f t="shared" si="173"/>
        <v/>
      </c>
      <c r="BE131" s="163" t="str">
        <f t="shared" si="183"/>
        <v/>
      </c>
      <c r="BF131" s="160" t="str">
        <f t="shared" si="184"/>
        <v/>
      </c>
      <c r="BG131" s="49"/>
      <c r="BV131" s="46"/>
      <c r="BW131" s="46"/>
      <c r="BX131" s="46"/>
    </row>
    <row r="132" spans="1:76" ht="19.5" thickTop="1" thickBot="1" x14ac:dyDescent="0.3">
      <c r="A132" s="18">
        <f t="shared" si="120"/>
        <v>30</v>
      </c>
      <c r="C132" s="325"/>
      <c r="D132" s="114"/>
      <c r="E132" s="114"/>
      <c r="F132" s="114"/>
      <c r="G132" s="114"/>
      <c r="H132" s="114"/>
      <c r="I132" s="114"/>
      <c r="J132" s="114"/>
      <c r="K132" s="114"/>
      <c r="L132" s="114"/>
      <c r="M132" s="114"/>
      <c r="N132" s="114"/>
      <c r="O132" s="114"/>
      <c r="P132" s="114"/>
      <c r="Q132" s="114"/>
      <c r="R132" s="114"/>
      <c r="S132" s="114"/>
      <c r="T132" s="114"/>
      <c r="U132" s="114" t="str">
        <f t="shared" ref="U132" si="192">IF($P45="","",IF($P45=4,+$T45,""))</f>
        <v/>
      </c>
      <c r="AG132" s="31"/>
      <c r="AK132" s="158">
        <f t="shared" si="163"/>
        <v>42361</v>
      </c>
      <c r="AL132" s="159">
        <f t="shared" si="186"/>
        <v>9</v>
      </c>
      <c r="AM132" s="166" t="str">
        <f t="shared" si="164"/>
        <v/>
      </c>
      <c r="AN132" s="163" t="str">
        <f t="shared" si="165"/>
        <v/>
      </c>
      <c r="AO132" s="431" t="str">
        <f t="shared" si="175"/>
        <v/>
      </c>
      <c r="AP132" s="196" t="str">
        <f t="shared" si="176"/>
        <v/>
      </c>
      <c r="AQ132" s="166" t="str">
        <f t="shared" si="166"/>
        <v/>
      </c>
      <c r="AR132" s="163" t="str">
        <f t="shared" si="167"/>
        <v/>
      </c>
      <c r="AS132" s="197" t="str">
        <f t="shared" si="177"/>
        <v/>
      </c>
      <c r="AT132" s="160" t="str">
        <f t="shared" si="178"/>
        <v/>
      </c>
      <c r="AU132" s="166" t="str">
        <f t="shared" si="168"/>
        <v/>
      </c>
      <c r="AV132" s="163" t="str">
        <f t="shared" si="169"/>
        <v/>
      </c>
      <c r="AW132" s="197" t="str">
        <f t="shared" si="179"/>
        <v/>
      </c>
      <c r="AX132" s="160" t="str">
        <f t="shared" si="180"/>
        <v/>
      </c>
      <c r="AY132" s="166" t="str">
        <f t="shared" si="170"/>
        <v/>
      </c>
      <c r="AZ132" s="163" t="str">
        <f t="shared" si="171"/>
        <v/>
      </c>
      <c r="BA132" s="163" t="str">
        <f t="shared" si="181"/>
        <v/>
      </c>
      <c r="BB132" s="160" t="str">
        <f t="shared" si="182"/>
        <v/>
      </c>
      <c r="BC132" s="166" t="str">
        <f t="shared" si="172"/>
        <v/>
      </c>
      <c r="BD132" s="163" t="str">
        <f t="shared" si="173"/>
        <v/>
      </c>
      <c r="BE132" s="163" t="str">
        <f t="shared" si="183"/>
        <v/>
      </c>
      <c r="BF132" s="160" t="str">
        <f t="shared" si="184"/>
        <v/>
      </c>
      <c r="BV132" s="461" t="s">
        <v>185</v>
      </c>
      <c r="BW132" s="46"/>
      <c r="BX132" s="46"/>
    </row>
    <row r="133" spans="1:76" ht="19.5" thickTop="1" thickBot="1" x14ac:dyDescent="0.3">
      <c r="C133" s="152"/>
      <c r="D133" s="178"/>
      <c r="E133" s="222"/>
      <c r="F133" s="250"/>
      <c r="G133" s="223"/>
      <c r="H133" s="221"/>
      <c r="I133" s="222"/>
      <c r="J133" s="250"/>
      <c r="K133" s="223"/>
      <c r="L133" s="221"/>
      <c r="M133" s="221"/>
      <c r="N133" s="221"/>
      <c r="O133" s="222"/>
      <c r="P133" s="24"/>
      <c r="Q133" s="223"/>
      <c r="R133" s="223"/>
      <c r="S133" s="223"/>
      <c r="U133" s="107"/>
      <c r="AG133" s="31"/>
      <c r="AK133" s="158">
        <f t="shared" si="163"/>
        <v>42361</v>
      </c>
      <c r="AL133" s="159">
        <f t="shared" si="186"/>
        <v>10</v>
      </c>
      <c r="AM133" s="166" t="str">
        <f t="shared" si="164"/>
        <v/>
      </c>
      <c r="AN133" s="163" t="str">
        <f t="shared" si="165"/>
        <v/>
      </c>
      <c r="AO133" s="431" t="str">
        <f t="shared" si="175"/>
        <v/>
      </c>
      <c r="AP133" s="196" t="str">
        <f t="shared" si="176"/>
        <v/>
      </c>
      <c r="AQ133" s="166" t="str">
        <f t="shared" si="166"/>
        <v/>
      </c>
      <c r="AR133" s="163" t="str">
        <f t="shared" si="167"/>
        <v/>
      </c>
      <c r="AS133" s="197" t="str">
        <f t="shared" si="177"/>
        <v/>
      </c>
      <c r="AT133" s="160" t="str">
        <f t="shared" si="178"/>
        <v/>
      </c>
      <c r="AU133" s="166" t="str">
        <f t="shared" si="168"/>
        <v/>
      </c>
      <c r="AV133" s="163" t="str">
        <f t="shared" si="169"/>
        <v/>
      </c>
      <c r="AW133" s="197" t="str">
        <f t="shared" si="179"/>
        <v/>
      </c>
      <c r="AX133" s="160" t="str">
        <f t="shared" si="180"/>
        <v/>
      </c>
      <c r="AY133" s="166" t="str">
        <f t="shared" si="170"/>
        <v/>
      </c>
      <c r="AZ133" s="163" t="str">
        <f t="shared" si="171"/>
        <v/>
      </c>
      <c r="BA133" s="163" t="str">
        <f t="shared" si="181"/>
        <v/>
      </c>
      <c r="BB133" s="160" t="str">
        <f t="shared" si="182"/>
        <v/>
      </c>
      <c r="BC133" s="166" t="str">
        <f t="shared" si="172"/>
        <v/>
      </c>
      <c r="BD133" s="163" t="str">
        <f t="shared" si="173"/>
        <v/>
      </c>
      <c r="BE133" s="163" t="str">
        <f t="shared" si="183"/>
        <v/>
      </c>
      <c r="BF133" s="160" t="str">
        <f t="shared" si="184"/>
        <v/>
      </c>
      <c r="BV133" s="46"/>
      <c r="BW133" s="46"/>
      <c r="BX133" s="46"/>
    </row>
    <row r="134" spans="1:76" ht="19.5" thickTop="1" thickBot="1" x14ac:dyDescent="0.3">
      <c r="C134" s="152"/>
      <c r="D134" s="197"/>
      <c r="E134" s="340"/>
      <c r="F134" s="197"/>
      <c r="G134" s="340"/>
      <c r="H134" s="197"/>
      <c r="I134" s="340"/>
      <c r="J134" s="197"/>
      <c r="K134" s="340"/>
      <c r="L134" s="197"/>
      <c r="M134" s="340"/>
      <c r="N134" s="197"/>
      <c r="O134" s="340"/>
      <c r="P134" s="197"/>
      <c r="Q134" s="340"/>
      <c r="R134" s="197"/>
      <c r="S134" s="340"/>
      <c r="T134" s="197"/>
      <c r="U134" s="341"/>
      <c r="AG134" s="31"/>
      <c r="AK134" s="158">
        <f t="shared" si="163"/>
        <v>42361</v>
      </c>
      <c r="AL134" s="159">
        <f t="shared" si="186"/>
        <v>11</v>
      </c>
      <c r="AM134" s="166" t="str">
        <f t="shared" si="164"/>
        <v/>
      </c>
      <c r="AN134" s="163" t="str">
        <f t="shared" si="165"/>
        <v/>
      </c>
      <c r="AO134" s="431" t="str">
        <f t="shared" si="175"/>
        <v/>
      </c>
      <c r="AP134" s="196" t="str">
        <f t="shared" si="176"/>
        <v/>
      </c>
      <c r="AQ134" s="166" t="str">
        <f t="shared" si="166"/>
        <v/>
      </c>
      <c r="AR134" s="163" t="str">
        <f t="shared" si="167"/>
        <v/>
      </c>
      <c r="AS134" s="197" t="str">
        <f t="shared" si="177"/>
        <v/>
      </c>
      <c r="AT134" s="160" t="str">
        <f t="shared" si="178"/>
        <v/>
      </c>
      <c r="AU134" s="166" t="str">
        <f t="shared" si="168"/>
        <v/>
      </c>
      <c r="AV134" s="163" t="str">
        <f t="shared" si="169"/>
        <v/>
      </c>
      <c r="AW134" s="197" t="str">
        <f t="shared" si="179"/>
        <v/>
      </c>
      <c r="AX134" s="160" t="str">
        <f t="shared" si="180"/>
        <v/>
      </c>
      <c r="AY134" s="166" t="str">
        <f t="shared" si="170"/>
        <v/>
      </c>
      <c r="AZ134" s="163" t="str">
        <f t="shared" si="171"/>
        <v/>
      </c>
      <c r="BA134" s="163" t="str">
        <f t="shared" si="181"/>
        <v/>
      </c>
      <c r="BB134" s="160" t="str">
        <f t="shared" si="182"/>
        <v/>
      </c>
      <c r="BC134" s="166" t="str">
        <f t="shared" si="172"/>
        <v/>
      </c>
      <c r="BD134" s="163" t="str">
        <f t="shared" si="173"/>
        <v/>
      </c>
      <c r="BE134" s="163" t="str">
        <f t="shared" si="183"/>
        <v/>
      </c>
      <c r="BF134" s="160" t="str">
        <f t="shared" si="184"/>
        <v/>
      </c>
      <c r="BV134" s="46"/>
      <c r="BW134" s="46"/>
      <c r="BX134" s="46"/>
    </row>
    <row r="135" spans="1:76" ht="19.5" thickTop="1" thickBot="1" x14ac:dyDescent="0.3">
      <c r="C135" s="152"/>
      <c r="D135" s="178"/>
      <c r="E135" s="222"/>
      <c r="F135" s="250"/>
      <c r="G135" s="223"/>
      <c r="H135" s="221"/>
      <c r="I135" s="222"/>
      <c r="J135" s="250"/>
      <c r="K135" s="223"/>
      <c r="L135" s="221"/>
      <c r="M135" s="221"/>
      <c r="N135" s="221"/>
      <c r="O135" s="222"/>
      <c r="P135" s="24"/>
      <c r="Q135" s="223"/>
      <c r="U135" s="250"/>
      <c r="AG135" s="31"/>
      <c r="AK135" s="158">
        <f t="shared" si="163"/>
        <v>42361</v>
      </c>
      <c r="AL135" s="159">
        <f t="shared" si="186"/>
        <v>12</v>
      </c>
      <c r="AM135" s="166" t="str">
        <f t="shared" si="164"/>
        <v/>
      </c>
      <c r="AN135" s="163" t="str">
        <f t="shared" si="165"/>
        <v/>
      </c>
      <c r="AO135" s="431" t="str">
        <f t="shared" si="175"/>
        <v/>
      </c>
      <c r="AP135" s="196" t="str">
        <f t="shared" si="176"/>
        <v/>
      </c>
      <c r="AQ135" s="166" t="str">
        <f t="shared" si="166"/>
        <v/>
      </c>
      <c r="AR135" s="163" t="str">
        <f t="shared" si="167"/>
        <v/>
      </c>
      <c r="AS135" s="197" t="str">
        <f t="shared" si="177"/>
        <v/>
      </c>
      <c r="AT135" s="160" t="str">
        <f t="shared" si="178"/>
        <v/>
      </c>
      <c r="AU135" s="166" t="str">
        <f t="shared" si="168"/>
        <v/>
      </c>
      <c r="AV135" s="163" t="str">
        <f t="shared" si="169"/>
        <v/>
      </c>
      <c r="AW135" s="197" t="str">
        <f t="shared" si="179"/>
        <v/>
      </c>
      <c r="AX135" s="160" t="str">
        <f t="shared" si="180"/>
        <v/>
      </c>
      <c r="AY135" s="166" t="str">
        <f t="shared" si="170"/>
        <v/>
      </c>
      <c r="AZ135" s="163" t="str">
        <f t="shared" si="171"/>
        <v/>
      </c>
      <c r="BA135" s="163" t="str">
        <f t="shared" si="181"/>
        <v/>
      </c>
      <c r="BB135" s="160" t="str">
        <f t="shared" si="182"/>
        <v/>
      </c>
      <c r="BC135" s="166" t="str">
        <f t="shared" si="172"/>
        <v/>
      </c>
      <c r="BD135" s="163" t="str">
        <f t="shared" si="173"/>
        <v/>
      </c>
      <c r="BE135" s="163" t="str">
        <f t="shared" si="183"/>
        <v/>
      </c>
      <c r="BF135" s="160" t="str">
        <f t="shared" si="184"/>
        <v/>
      </c>
      <c r="BV135" s="46"/>
      <c r="BW135" s="46"/>
      <c r="BX135" s="46"/>
    </row>
    <row r="136" spans="1:76" ht="19.5" thickTop="1" thickBot="1" x14ac:dyDescent="0.3">
      <c r="C136" s="152"/>
      <c r="D136" s="178"/>
      <c r="E136" s="223"/>
      <c r="F136" s="250"/>
      <c r="G136" s="223"/>
      <c r="H136" s="250"/>
      <c r="I136" s="223"/>
      <c r="J136" s="250"/>
      <c r="K136" s="223"/>
      <c r="L136" s="250"/>
      <c r="M136" s="250"/>
      <c r="N136" s="250"/>
      <c r="O136" s="24"/>
      <c r="P136" s="24"/>
      <c r="Q136" s="223"/>
      <c r="U136" s="250"/>
      <c r="AG136" s="31"/>
      <c r="AK136" s="158">
        <f t="shared" si="163"/>
        <v>42361</v>
      </c>
      <c r="AL136" s="159">
        <f t="shared" si="186"/>
        <v>13</v>
      </c>
      <c r="AM136" s="166" t="str">
        <f t="shared" si="164"/>
        <v/>
      </c>
      <c r="AN136" s="163" t="str">
        <f t="shared" si="165"/>
        <v/>
      </c>
      <c r="AO136" s="431" t="str">
        <f t="shared" si="175"/>
        <v/>
      </c>
      <c r="AP136" s="196" t="str">
        <f t="shared" si="176"/>
        <v/>
      </c>
      <c r="AQ136" s="166" t="str">
        <f t="shared" si="166"/>
        <v/>
      </c>
      <c r="AR136" s="163" t="str">
        <f t="shared" si="167"/>
        <v/>
      </c>
      <c r="AS136" s="197" t="str">
        <f t="shared" si="177"/>
        <v/>
      </c>
      <c r="AT136" s="160" t="str">
        <f t="shared" si="178"/>
        <v/>
      </c>
      <c r="AU136" s="166" t="str">
        <f t="shared" si="168"/>
        <v/>
      </c>
      <c r="AV136" s="163" t="str">
        <f t="shared" si="169"/>
        <v/>
      </c>
      <c r="AW136" s="197" t="str">
        <f t="shared" si="179"/>
        <v/>
      </c>
      <c r="AX136" s="160" t="str">
        <f t="shared" si="180"/>
        <v/>
      </c>
      <c r="AY136" s="166" t="str">
        <f t="shared" si="170"/>
        <v/>
      </c>
      <c r="AZ136" s="163" t="str">
        <f t="shared" si="171"/>
        <v/>
      </c>
      <c r="BA136" s="163" t="str">
        <f t="shared" si="181"/>
        <v/>
      </c>
      <c r="BB136" s="160" t="str">
        <f t="shared" si="182"/>
        <v/>
      </c>
      <c r="BC136" s="166" t="str">
        <f t="shared" si="172"/>
        <v/>
      </c>
      <c r="BD136" s="163" t="str">
        <f t="shared" si="173"/>
        <v/>
      </c>
      <c r="BE136" s="163" t="str">
        <f t="shared" si="183"/>
        <v/>
      </c>
      <c r="BF136" s="160" t="str">
        <f t="shared" si="184"/>
        <v/>
      </c>
      <c r="BV136" s="46"/>
      <c r="BW136" s="46"/>
      <c r="BX136" s="46"/>
    </row>
    <row r="137" spans="1:76" ht="19.5" thickTop="1" thickBot="1" x14ac:dyDescent="0.3">
      <c r="C137" s="327"/>
      <c r="D137" s="330"/>
      <c r="E137" s="330"/>
      <c r="F137" s="330"/>
      <c r="G137" s="330"/>
      <c r="H137" s="330"/>
      <c r="I137" s="330"/>
      <c r="J137" s="330"/>
      <c r="K137" s="330"/>
      <c r="L137" s="330"/>
      <c r="M137" s="330"/>
      <c r="N137" s="330"/>
      <c r="O137" s="330"/>
      <c r="P137" s="330"/>
      <c r="Q137" s="330"/>
      <c r="R137" s="330"/>
      <c r="S137" s="330"/>
      <c r="T137" s="330"/>
      <c r="U137" s="330" t="s">
        <v>157</v>
      </c>
      <c r="AG137" s="31"/>
      <c r="AK137" s="158">
        <f t="shared" si="163"/>
        <v>42361</v>
      </c>
      <c r="AL137" s="159">
        <f t="shared" si="186"/>
        <v>14</v>
      </c>
      <c r="AM137" s="166" t="str">
        <f t="shared" si="164"/>
        <v/>
      </c>
      <c r="AN137" s="163" t="str">
        <f t="shared" si="165"/>
        <v/>
      </c>
      <c r="AO137" s="431" t="str">
        <f t="shared" si="175"/>
        <v/>
      </c>
      <c r="AP137" s="196" t="str">
        <f t="shared" si="176"/>
        <v/>
      </c>
      <c r="AQ137" s="166" t="str">
        <f t="shared" si="166"/>
        <v/>
      </c>
      <c r="AR137" s="163" t="str">
        <f t="shared" si="167"/>
        <v/>
      </c>
      <c r="AS137" s="197" t="str">
        <f t="shared" si="177"/>
        <v/>
      </c>
      <c r="AT137" s="160" t="str">
        <f t="shared" si="178"/>
        <v/>
      </c>
      <c r="AU137" s="166" t="str">
        <f t="shared" si="168"/>
        <v/>
      </c>
      <c r="AV137" s="163" t="str">
        <f t="shared" si="169"/>
        <v/>
      </c>
      <c r="AW137" s="197" t="str">
        <f t="shared" si="179"/>
        <v/>
      </c>
      <c r="AX137" s="160" t="str">
        <f t="shared" si="180"/>
        <v/>
      </c>
      <c r="AY137" s="166" t="str">
        <f t="shared" si="170"/>
        <v/>
      </c>
      <c r="AZ137" s="163" t="str">
        <f t="shared" si="171"/>
        <v/>
      </c>
      <c r="BA137" s="163" t="str">
        <f t="shared" si="181"/>
        <v/>
      </c>
      <c r="BB137" s="160" t="str">
        <f t="shared" si="182"/>
        <v/>
      </c>
      <c r="BC137" s="166" t="str">
        <f t="shared" si="172"/>
        <v/>
      </c>
      <c r="BD137" s="163" t="str">
        <f t="shared" si="173"/>
        <v/>
      </c>
      <c r="BE137" s="163" t="str">
        <f t="shared" si="183"/>
        <v/>
      </c>
      <c r="BF137" s="160" t="str">
        <f t="shared" si="184"/>
        <v/>
      </c>
      <c r="BV137" s="46"/>
      <c r="BW137" s="46"/>
      <c r="BX137" s="46"/>
    </row>
    <row r="138" spans="1:76" ht="19.5" thickTop="1" thickBot="1" x14ac:dyDescent="0.3">
      <c r="A138" s="18">
        <v>1</v>
      </c>
      <c r="C138" s="113"/>
      <c r="D138" s="114"/>
      <c r="E138" s="114"/>
      <c r="F138" s="114"/>
      <c r="G138" s="114"/>
      <c r="H138" s="114"/>
      <c r="I138" s="114"/>
      <c r="J138" s="114"/>
      <c r="K138" s="114"/>
      <c r="L138" s="114"/>
      <c r="M138" s="114"/>
      <c r="N138" s="114"/>
      <c r="O138" s="114"/>
      <c r="P138" s="114"/>
      <c r="Q138" s="114"/>
      <c r="R138" s="114"/>
      <c r="S138" s="114"/>
      <c r="T138" s="114"/>
      <c r="U138" s="114" t="str">
        <f>IF($P48="","",IF($P48=4,+$T48,""))</f>
        <v/>
      </c>
      <c r="AG138" s="31"/>
      <c r="AK138" s="158" t="str">
        <f t="shared" si="163"/>
        <v/>
      </c>
      <c r="AL138" s="159">
        <f t="shared" si="186"/>
        <v>15</v>
      </c>
      <c r="AM138" s="166" t="str">
        <f t="shared" si="164"/>
        <v/>
      </c>
      <c r="AN138" s="163" t="str">
        <f t="shared" si="165"/>
        <v/>
      </c>
      <c r="AO138" s="431" t="str">
        <f t="shared" si="175"/>
        <v/>
      </c>
      <c r="AP138" s="196" t="str">
        <f t="shared" si="176"/>
        <v/>
      </c>
      <c r="AQ138" s="166" t="str">
        <f t="shared" si="166"/>
        <v/>
      </c>
      <c r="AR138" s="163" t="str">
        <f t="shared" si="167"/>
        <v/>
      </c>
      <c r="AS138" s="197" t="str">
        <f t="shared" si="177"/>
        <v/>
      </c>
      <c r="AT138" s="160" t="str">
        <f t="shared" si="178"/>
        <v/>
      </c>
      <c r="AU138" s="166" t="str">
        <f t="shared" si="168"/>
        <v/>
      </c>
      <c r="AV138" s="163" t="str">
        <f t="shared" si="169"/>
        <v/>
      </c>
      <c r="AW138" s="197" t="str">
        <f t="shared" si="179"/>
        <v/>
      </c>
      <c r="AX138" s="160" t="str">
        <f t="shared" si="180"/>
        <v/>
      </c>
      <c r="AY138" s="166" t="str">
        <f t="shared" si="170"/>
        <v/>
      </c>
      <c r="AZ138" s="163" t="str">
        <f t="shared" si="171"/>
        <v/>
      </c>
      <c r="BA138" s="163" t="str">
        <f t="shared" si="181"/>
        <v/>
      </c>
      <c r="BB138" s="160" t="str">
        <f t="shared" si="182"/>
        <v/>
      </c>
      <c r="BC138" s="166" t="str">
        <f t="shared" si="172"/>
        <v/>
      </c>
      <c r="BD138" s="163" t="str">
        <f t="shared" si="173"/>
        <v/>
      </c>
      <c r="BE138" s="163" t="str">
        <f t="shared" si="183"/>
        <v/>
      </c>
      <c r="BF138" s="160" t="str">
        <f t="shared" si="184"/>
        <v/>
      </c>
      <c r="BV138" s="46"/>
      <c r="BW138" s="46"/>
      <c r="BX138" s="46"/>
    </row>
    <row r="139" spans="1:76" ht="19.5" thickTop="1" thickBot="1" x14ac:dyDescent="0.3">
      <c r="A139" s="18">
        <v>2</v>
      </c>
      <c r="C139" s="114"/>
      <c r="D139" s="114"/>
      <c r="E139" s="114"/>
      <c r="F139" s="114"/>
      <c r="G139" s="114"/>
      <c r="H139" s="114"/>
      <c r="I139" s="114"/>
      <c r="J139" s="114"/>
      <c r="K139" s="114"/>
      <c r="L139" s="114"/>
      <c r="M139" s="114"/>
      <c r="N139" s="114"/>
      <c r="O139" s="114"/>
      <c r="P139" s="114"/>
      <c r="Q139" s="114"/>
      <c r="R139" s="114"/>
      <c r="S139" s="114"/>
      <c r="T139" s="114"/>
      <c r="U139" s="114" t="str">
        <f t="shared" ref="U139:U147" si="193">IF($P49="","",IF($P49=4,+$T49,""))</f>
        <v/>
      </c>
      <c r="AG139" s="31"/>
      <c r="AK139" s="158" t="str">
        <f t="shared" si="163"/>
        <v/>
      </c>
      <c r="AL139" s="159">
        <f t="shared" si="186"/>
        <v>16</v>
      </c>
      <c r="AM139" s="166" t="str">
        <f t="shared" si="164"/>
        <v/>
      </c>
      <c r="AN139" s="163" t="str">
        <f t="shared" si="165"/>
        <v/>
      </c>
      <c r="AO139" s="431" t="str">
        <f t="shared" si="175"/>
        <v/>
      </c>
      <c r="AP139" s="196" t="str">
        <f t="shared" si="176"/>
        <v/>
      </c>
      <c r="AQ139" s="166" t="str">
        <f t="shared" si="166"/>
        <v/>
      </c>
      <c r="AR139" s="163" t="str">
        <f t="shared" si="167"/>
        <v/>
      </c>
      <c r="AS139" s="197" t="str">
        <f t="shared" si="177"/>
        <v/>
      </c>
      <c r="AT139" s="160" t="str">
        <f t="shared" si="178"/>
        <v/>
      </c>
      <c r="AU139" s="166" t="str">
        <f t="shared" si="168"/>
        <v/>
      </c>
      <c r="AV139" s="163" t="str">
        <f t="shared" si="169"/>
        <v/>
      </c>
      <c r="AW139" s="197" t="str">
        <f t="shared" si="179"/>
        <v/>
      </c>
      <c r="AX139" s="160" t="str">
        <f t="shared" si="180"/>
        <v/>
      </c>
      <c r="AY139" s="166" t="str">
        <f t="shared" si="170"/>
        <v/>
      </c>
      <c r="AZ139" s="163" t="str">
        <f t="shared" si="171"/>
        <v/>
      </c>
      <c r="BA139" s="163" t="str">
        <f t="shared" si="181"/>
        <v/>
      </c>
      <c r="BB139" s="160" t="str">
        <f t="shared" si="182"/>
        <v/>
      </c>
      <c r="BC139" s="166" t="str">
        <f t="shared" si="172"/>
        <v/>
      </c>
      <c r="BD139" s="163" t="str">
        <f t="shared" si="173"/>
        <v/>
      </c>
      <c r="BE139" s="163" t="str">
        <f t="shared" si="183"/>
        <v/>
      </c>
      <c r="BF139" s="160" t="str">
        <f t="shared" si="184"/>
        <v/>
      </c>
      <c r="BV139" s="46"/>
      <c r="BW139" s="46"/>
      <c r="BX139" s="46"/>
    </row>
    <row r="140" spans="1:76" ht="19.5" thickTop="1" thickBot="1" x14ac:dyDescent="0.3">
      <c r="A140" s="18">
        <v>3</v>
      </c>
      <c r="C140" s="114"/>
      <c r="D140" s="114"/>
      <c r="E140" s="114"/>
      <c r="F140" s="114"/>
      <c r="G140" s="114"/>
      <c r="H140" s="114"/>
      <c r="I140" s="114"/>
      <c r="J140" s="114"/>
      <c r="K140" s="114"/>
      <c r="L140" s="114"/>
      <c r="M140" s="114"/>
      <c r="N140" s="114"/>
      <c r="O140" s="114"/>
      <c r="P140" s="114"/>
      <c r="Q140" s="114"/>
      <c r="R140" s="114"/>
      <c r="S140" s="114"/>
      <c r="T140" s="114"/>
      <c r="U140" s="114" t="str">
        <f t="shared" si="193"/>
        <v/>
      </c>
      <c r="X140" s="31"/>
      <c r="Y140" s="31"/>
      <c r="Z140" s="31"/>
      <c r="AG140" s="31"/>
      <c r="AK140" s="158" t="str">
        <f t="shared" si="163"/>
        <v/>
      </c>
      <c r="AL140" s="159">
        <f t="shared" si="186"/>
        <v>17</v>
      </c>
      <c r="AM140" s="166" t="str">
        <f t="shared" si="164"/>
        <v/>
      </c>
      <c r="AN140" s="163" t="str">
        <f t="shared" si="165"/>
        <v/>
      </c>
      <c r="AO140" s="431" t="str">
        <f t="shared" si="175"/>
        <v/>
      </c>
      <c r="AP140" s="196" t="str">
        <f t="shared" si="176"/>
        <v/>
      </c>
      <c r="AQ140" s="166" t="str">
        <f t="shared" si="166"/>
        <v/>
      </c>
      <c r="AR140" s="163" t="str">
        <f t="shared" si="167"/>
        <v/>
      </c>
      <c r="AS140" s="197" t="str">
        <f t="shared" si="177"/>
        <v/>
      </c>
      <c r="AT140" s="160" t="str">
        <f t="shared" si="178"/>
        <v/>
      </c>
      <c r="AU140" s="166" t="str">
        <f t="shared" si="168"/>
        <v/>
      </c>
      <c r="AV140" s="163" t="str">
        <f t="shared" si="169"/>
        <v/>
      </c>
      <c r="AW140" s="197" t="str">
        <f t="shared" si="179"/>
        <v/>
      </c>
      <c r="AX140" s="160" t="str">
        <f t="shared" si="180"/>
        <v/>
      </c>
      <c r="AY140" s="166" t="str">
        <f t="shared" si="170"/>
        <v/>
      </c>
      <c r="AZ140" s="163" t="str">
        <f t="shared" si="171"/>
        <v/>
      </c>
      <c r="BA140" s="163" t="str">
        <f t="shared" si="181"/>
        <v/>
      </c>
      <c r="BB140" s="160" t="str">
        <f t="shared" si="182"/>
        <v/>
      </c>
      <c r="BC140" s="166" t="str">
        <f t="shared" si="172"/>
        <v/>
      </c>
      <c r="BD140" s="163" t="str">
        <f t="shared" si="173"/>
        <v/>
      </c>
      <c r="BE140" s="163" t="str">
        <f t="shared" si="183"/>
        <v/>
      </c>
      <c r="BF140" s="160" t="str">
        <f t="shared" si="184"/>
        <v/>
      </c>
      <c r="BV140" s="46"/>
      <c r="BW140" s="46"/>
      <c r="BX140" s="46"/>
    </row>
    <row r="141" spans="1:76" ht="19.5" thickTop="1" thickBot="1" x14ac:dyDescent="0.3">
      <c r="A141" s="18">
        <v>4</v>
      </c>
      <c r="C141" s="325"/>
      <c r="D141" s="114"/>
      <c r="E141" s="114"/>
      <c r="F141" s="114"/>
      <c r="G141" s="114"/>
      <c r="H141" s="114"/>
      <c r="I141" s="114"/>
      <c r="J141" s="114"/>
      <c r="K141" s="114"/>
      <c r="L141" s="114"/>
      <c r="M141" s="114"/>
      <c r="N141" s="114"/>
      <c r="O141" s="114"/>
      <c r="P141" s="114"/>
      <c r="Q141" s="114"/>
      <c r="R141" s="114"/>
      <c r="S141" s="114"/>
      <c r="T141" s="114"/>
      <c r="U141" s="114" t="str">
        <f t="shared" si="193"/>
        <v/>
      </c>
      <c r="X141" s="31"/>
      <c r="Y141" s="31"/>
      <c r="Z141" s="31"/>
      <c r="AG141" s="31"/>
      <c r="AJ141" s="204"/>
      <c r="AK141" s="158" t="str">
        <f t="shared" si="163"/>
        <v/>
      </c>
      <c r="AL141" s="159">
        <f t="shared" si="186"/>
        <v>18</v>
      </c>
      <c r="AM141" s="166" t="str">
        <f t="shared" si="164"/>
        <v/>
      </c>
      <c r="AN141" s="163" t="str">
        <f t="shared" si="165"/>
        <v/>
      </c>
      <c r="AO141" s="431" t="str">
        <f t="shared" si="175"/>
        <v/>
      </c>
      <c r="AP141" s="196" t="str">
        <f t="shared" si="176"/>
        <v/>
      </c>
      <c r="AQ141" s="166" t="str">
        <f t="shared" si="166"/>
        <v/>
      </c>
      <c r="AR141" s="163" t="str">
        <f t="shared" si="167"/>
        <v/>
      </c>
      <c r="AS141" s="197" t="str">
        <f t="shared" si="177"/>
        <v/>
      </c>
      <c r="AT141" s="160" t="str">
        <f>+IF(AND(AQ141=3,P33=6),+S33,"")</f>
        <v/>
      </c>
      <c r="AU141" s="166" t="str">
        <f t="shared" si="168"/>
        <v/>
      </c>
      <c r="AV141" s="163" t="str">
        <f t="shared" si="169"/>
        <v/>
      </c>
      <c r="AW141" s="197" t="str">
        <f t="shared" si="179"/>
        <v/>
      </c>
      <c r="AX141" s="160" t="str">
        <f t="shared" si="180"/>
        <v/>
      </c>
      <c r="AY141" s="166" t="str">
        <f t="shared" si="170"/>
        <v/>
      </c>
      <c r="AZ141" s="163" t="str">
        <f t="shared" si="171"/>
        <v/>
      </c>
      <c r="BA141" s="163" t="str">
        <f t="shared" si="181"/>
        <v/>
      </c>
      <c r="BB141" s="160" t="str">
        <f t="shared" si="182"/>
        <v/>
      </c>
      <c r="BC141" s="166" t="str">
        <f t="shared" si="172"/>
        <v/>
      </c>
      <c r="BD141" s="163" t="str">
        <f t="shared" si="173"/>
        <v/>
      </c>
      <c r="BE141" s="163" t="str">
        <f t="shared" si="183"/>
        <v/>
      </c>
      <c r="BF141" s="160" t="str">
        <f t="shared" si="184"/>
        <v/>
      </c>
      <c r="BV141" s="46"/>
      <c r="BW141" s="46"/>
      <c r="BX141" s="46"/>
    </row>
    <row r="142" spans="1:76" ht="19.5" thickTop="1" thickBot="1" x14ac:dyDescent="0.3">
      <c r="A142" s="18">
        <v>5</v>
      </c>
      <c r="C142" s="325"/>
      <c r="D142" s="114"/>
      <c r="E142" s="114"/>
      <c r="F142" s="114"/>
      <c r="G142" s="114"/>
      <c r="H142" s="114"/>
      <c r="I142" s="114"/>
      <c r="J142" s="114"/>
      <c r="K142" s="114"/>
      <c r="L142" s="114"/>
      <c r="M142" s="114"/>
      <c r="N142" s="114"/>
      <c r="O142" s="114"/>
      <c r="P142" s="114"/>
      <c r="Q142" s="114"/>
      <c r="R142" s="114"/>
      <c r="S142" s="114"/>
      <c r="T142" s="114"/>
      <c r="U142" s="114" t="str">
        <f t="shared" si="193"/>
        <v/>
      </c>
      <c r="X142" s="31"/>
      <c r="Y142" s="31"/>
      <c r="Z142" s="31"/>
      <c r="AG142" s="31"/>
      <c r="AJ142" s="204"/>
      <c r="AK142" s="158" t="str">
        <f t="shared" si="163"/>
        <v/>
      </c>
      <c r="AL142" s="159">
        <f t="shared" si="186"/>
        <v>19</v>
      </c>
      <c r="AM142" s="166" t="str">
        <f t="shared" si="164"/>
        <v/>
      </c>
      <c r="AN142" s="163" t="str">
        <f t="shared" si="165"/>
        <v/>
      </c>
      <c r="AO142" s="431" t="str">
        <f t="shared" si="175"/>
        <v/>
      </c>
      <c r="AP142" s="196" t="str">
        <f t="shared" si="176"/>
        <v/>
      </c>
      <c r="AQ142" s="166" t="str">
        <f t="shared" si="166"/>
        <v/>
      </c>
      <c r="AR142" s="163" t="str">
        <f t="shared" si="167"/>
        <v/>
      </c>
      <c r="AS142" s="197" t="str">
        <f t="shared" si="177"/>
        <v/>
      </c>
      <c r="AT142" s="160" t="str">
        <f t="shared" si="178"/>
        <v/>
      </c>
      <c r="AU142" s="166" t="str">
        <f t="shared" si="168"/>
        <v/>
      </c>
      <c r="AV142" s="163" t="str">
        <f t="shared" si="169"/>
        <v/>
      </c>
      <c r="AW142" s="197" t="str">
        <f t="shared" si="179"/>
        <v/>
      </c>
      <c r="AX142" s="160" t="str">
        <f t="shared" si="180"/>
        <v/>
      </c>
      <c r="AY142" s="166" t="str">
        <f t="shared" si="170"/>
        <v/>
      </c>
      <c r="AZ142" s="163" t="str">
        <f t="shared" si="171"/>
        <v/>
      </c>
      <c r="BA142" s="163" t="str">
        <f t="shared" si="181"/>
        <v/>
      </c>
      <c r="BB142" s="160" t="str">
        <f t="shared" si="182"/>
        <v/>
      </c>
      <c r="BC142" s="166" t="str">
        <f t="shared" si="172"/>
        <v/>
      </c>
      <c r="BD142" s="163" t="str">
        <f t="shared" si="173"/>
        <v/>
      </c>
      <c r="BE142" s="163" t="str">
        <f t="shared" si="183"/>
        <v/>
      </c>
      <c r="BF142" s="160" t="str">
        <f t="shared" si="184"/>
        <v/>
      </c>
      <c r="BV142" s="46"/>
      <c r="BW142" s="46"/>
      <c r="BX142" s="46"/>
    </row>
    <row r="143" spans="1:76" ht="19.5" thickTop="1" thickBot="1" x14ac:dyDescent="0.3">
      <c r="A143" s="18">
        <v>6</v>
      </c>
      <c r="C143" s="325"/>
      <c r="D143" s="114"/>
      <c r="E143" s="114"/>
      <c r="F143" s="114"/>
      <c r="G143" s="114"/>
      <c r="H143" s="114"/>
      <c r="I143" s="114"/>
      <c r="J143" s="114"/>
      <c r="K143" s="114"/>
      <c r="L143" s="114"/>
      <c r="M143" s="114"/>
      <c r="N143" s="114"/>
      <c r="O143" s="114"/>
      <c r="P143" s="114"/>
      <c r="Q143" s="114"/>
      <c r="R143" s="114"/>
      <c r="S143" s="114"/>
      <c r="T143" s="114"/>
      <c r="U143" s="114" t="str">
        <f t="shared" si="193"/>
        <v/>
      </c>
      <c r="X143" s="225"/>
      <c r="Y143" s="225"/>
      <c r="Z143" s="225"/>
      <c r="AA143" s="226"/>
      <c r="AB143" s="226"/>
      <c r="AC143" s="226"/>
      <c r="AD143" s="226"/>
      <c r="AE143" s="226"/>
      <c r="AF143" s="226"/>
      <c r="AG143" s="225"/>
      <c r="AH143" s="226"/>
      <c r="AI143" s="267"/>
      <c r="AJ143" s="227"/>
      <c r="AK143" s="158" t="str">
        <f t="shared" si="163"/>
        <v/>
      </c>
      <c r="AL143" s="159">
        <f t="shared" si="186"/>
        <v>20</v>
      </c>
      <c r="AM143" s="166" t="str">
        <f t="shared" si="164"/>
        <v/>
      </c>
      <c r="AN143" s="163" t="str">
        <f t="shared" si="165"/>
        <v/>
      </c>
      <c r="AO143" s="431" t="str">
        <f t="shared" si="175"/>
        <v/>
      </c>
      <c r="AP143" s="196" t="str">
        <f t="shared" si="176"/>
        <v/>
      </c>
      <c r="AQ143" s="166" t="str">
        <f t="shared" si="166"/>
        <v/>
      </c>
      <c r="AR143" s="163" t="str">
        <f t="shared" si="167"/>
        <v/>
      </c>
      <c r="AS143" s="197" t="str">
        <f t="shared" si="177"/>
        <v/>
      </c>
      <c r="AT143" s="160" t="str">
        <f t="shared" si="178"/>
        <v/>
      </c>
      <c r="AU143" s="166" t="str">
        <f t="shared" si="168"/>
        <v/>
      </c>
      <c r="AV143" s="163" t="str">
        <f t="shared" si="169"/>
        <v/>
      </c>
      <c r="AW143" s="197" t="str">
        <f t="shared" si="179"/>
        <v/>
      </c>
      <c r="AX143" s="160" t="str">
        <f t="shared" si="180"/>
        <v/>
      </c>
      <c r="AY143" s="166" t="str">
        <f t="shared" si="170"/>
        <v/>
      </c>
      <c r="AZ143" s="163" t="str">
        <f t="shared" si="171"/>
        <v/>
      </c>
      <c r="BA143" s="163" t="str">
        <f>+IF(AK143="","",IF(AND(AY143=3,P35=10),+Q35/VLOOKUP($AK143,$T$69:$U$73,2),""))</f>
        <v/>
      </c>
      <c r="BB143" s="160" t="str">
        <f t="shared" si="182"/>
        <v/>
      </c>
      <c r="BC143" s="166" t="str">
        <f t="shared" si="172"/>
        <v/>
      </c>
      <c r="BD143" s="163" t="str">
        <f t="shared" si="173"/>
        <v/>
      </c>
      <c r="BE143" s="163" t="str">
        <f t="shared" si="183"/>
        <v/>
      </c>
      <c r="BF143" s="160" t="str">
        <f>+IF(AND(BC143=3,P35=12),+S35,"")</f>
        <v/>
      </c>
      <c r="BV143" s="46"/>
      <c r="BW143" s="46"/>
      <c r="BX143" s="46"/>
    </row>
    <row r="144" spans="1:76" ht="19.5" thickTop="1" thickBot="1" x14ac:dyDescent="0.3">
      <c r="A144" s="18">
        <v>7</v>
      </c>
      <c r="C144" s="325"/>
      <c r="D144" s="114"/>
      <c r="E144" s="114"/>
      <c r="F144" s="114"/>
      <c r="G144" s="114"/>
      <c r="H144" s="114"/>
      <c r="I144" s="114"/>
      <c r="J144" s="114"/>
      <c r="K144" s="114"/>
      <c r="L144" s="114"/>
      <c r="M144" s="114"/>
      <c r="N144" s="114"/>
      <c r="O144" s="114"/>
      <c r="P144" s="114"/>
      <c r="Q144" s="114"/>
      <c r="R144" s="114"/>
      <c r="S144" s="114"/>
      <c r="T144" s="114"/>
      <c r="U144" s="114" t="str">
        <f t="shared" si="193"/>
        <v/>
      </c>
      <c r="X144" s="225"/>
      <c r="Y144" s="225"/>
      <c r="Z144" s="225"/>
      <c r="AA144" s="226"/>
      <c r="AB144" s="226"/>
      <c r="AC144" s="226"/>
      <c r="AD144" s="226"/>
      <c r="AE144" s="226"/>
      <c r="AF144" s="226"/>
      <c r="AG144" s="225"/>
      <c r="AH144" s="226"/>
      <c r="AI144" s="267"/>
      <c r="AJ144" s="227"/>
      <c r="AK144" s="158" t="str">
        <f t="shared" si="163"/>
        <v/>
      </c>
      <c r="AL144" s="159">
        <f t="shared" si="186"/>
        <v>21</v>
      </c>
      <c r="AM144" s="166" t="str">
        <f t="shared" si="164"/>
        <v/>
      </c>
      <c r="AN144" s="163" t="str">
        <f t="shared" si="165"/>
        <v/>
      </c>
      <c r="AO144" s="431" t="str">
        <f t="shared" si="175"/>
        <v/>
      </c>
      <c r="AP144" s="196" t="str">
        <f t="shared" si="176"/>
        <v/>
      </c>
      <c r="AQ144" s="166" t="str">
        <f t="shared" si="166"/>
        <v/>
      </c>
      <c r="AR144" s="163" t="str">
        <f t="shared" si="167"/>
        <v/>
      </c>
      <c r="AS144" s="197" t="str">
        <f t="shared" si="177"/>
        <v/>
      </c>
      <c r="AT144" s="160" t="str">
        <f t="shared" si="178"/>
        <v/>
      </c>
      <c r="AU144" s="166" t="str">
        <f t="shared" si="168"/>
        <v/>
      </c>
      <c r="AV144" s="163" t="str">
        <f t="shared" si="169"/>
        <v/>
      </c>
      <c r="AW144" s="197" t="str">
        <f t="shared" si="179"/>
        <v/>
      </c>
      <c r="AX144" s="160" t="str">
        <f t="shared" si="180"/>
        <v/>
      </c>
      <c r="AY144" s="166" t="str">
        <f t="shared" si="170"/>
        <v/>
      </c>
      <c r="AZ144" s="163" t="str">
        <f t="shared" si="171"/>
        <v/>
      </c>
      <c r="BA144" s="163" t="str">
        <f t="shared" si="181"/>
        <v/>
      </c>
      <c r="BB144" s="160" t="str">
        <f t="shared" si="182"/>
        <v/>
      </c>
      <c r="BC144" s="166" t="str">
        <f t="shared" si="172"/>
        <v/>
      </c>
      <c r="BD144" s="163" t="str">
        <f t="shared" si="173"/>
        <v/>
      </c>
      <c r="BE144" s="163" t="str">
        <f t="shared" si="183"/>
        <v/>
      </c>
      <c r="BF144" s="160" t="str">
        <f t="shared" si="184"/>
        <v/>
      </c>
      <c r="BV144" s="46"/>
      <c r="BW144" s="46"/>
      <c r="BX144" s="46"/>
    </row>
    <row r="145" spans="1:76" ht="19.5" thickTop="1" thickBot="1" x14ac:dyDescent="0.3">
      <c r="A145" s="18">
        <v>8</v>
      </c>
      <c r="C145" s="325"/>
      <c r="D145" s="114"/>
      <c r="E145" s="114"/>
      <c r="F145" s="114"/>
      <c r="G145" s="114"/>
      <c r="H145" s="114"/>
      <c r="I145" s="114"/>
      <c r="J145" s="114"/>
      <c r="K145" s="114"/>
      <c r="L145" s="114"/>
      <c r="M145" s="114"/>
      <c r="N145" s="114"/>
      <c r="O145" s="114"/>
      <c r="P145" s="114"/>
      <c r="Q145" s="114"/>
      <c r="R145" s="114"/>
      <c r="S145" s="114"/>
      <c r="T145" s="114"/>
      <c r="U145" s="114" t="str">
        <f t="shared" si="193"/>
        <v/>
      </c>
      <c r="X145" s="225"/>
      <c r="Y145" s="225"/>
      <c r="Z145" s="225"/>
      <c r="AA145" s="226"/>
      <c r="AB145" s="226"/>
      <c r="AC145" s="226"/>
      <c r="AD145" s="226"/>
      <c r="AE145" s="226"/>
      <c r="AF145" s="226"/>
      <c r="AG145" s="225"/>
      <c r="AH145" s="226"/>
      <c r="AI145" s="267"/>
      <c r="AJ145" s="227"/>
      <c r="AK145" s="158" t="str">
        <f t="shared" si="163"/>
        <v/>
      </c>
      <c r="AL145" s="159">
        <f t="shared" si="186"/>
        <v>22</v>
      </c>
      <c r="AM145" s="166" t="str">
        <f t="shared" si="164"/>
        <v/>
      </c>
      <c r="AN145" s="163" t="str">
        <f t="shared" si="165"/>
        <v/>
      </c>
      <c r="AO145" s="431" t="str">
        <f t="shared" si="175"/>
        <v/>
      </c>
      <c r="AP145" s="196" t="str">
        <f t="shared" si="176"/>
        <v/>
      </c>
      <c r="AQ145" s="166" t="str">
        <f t="shared" si="166"/>
        <v/>
      </c>
      <c r="AR145" s="163" t="str">
        <f t="shared" si="167"/>
        <v/>
      </c>
      <c r="AS145" s="197" t="str">
        <f t="shared" si="177"/>
        <v/>
      </c>
      <c r="AT145" s="160" t="str">
        <f t="shared" si="178"/>
        <v/>
      </c>
      <c r="AU145" s="166" t="str">
        <f t="shared" si="168"/>
        <v/>
      </c>
      <c r="AV145" s="163" t="str">
        <f t="shared" si="169"/>
        <v/>
      </c>
      <c r="AW145" s="197" t="str">
        <f t="shared" si="179"/>
        <v/>
      </c>
      <c r="AX145" s="160" t="str">
        <f t="shared" si="180"/>
        <v/>
      </c>
      <c r="AY145" s="166" t="str">
        <f t="shared" si="170"/>
        <v/>
      </c>
      <c r="AZ145" s="163" t="str">
        <f t="shared" si="171"/>
        <v/>
      </c>
      <c r="BA145" s="163" t="str">
        <f t="shared" si="181"/>
        <v/>
      </c>
      <c r="BB145" s="160" t="str">
        <f t="shared" si="182"/>
        <v/>
      </c>
      <c r="BC145" s="166" t="str">
        <f t="shared" si="172"/>
        <v/>
      </c>
      <c r="BD145" s="163" t="str">
        <f t="shared" si="173"/>
        <v/>
      </c>
      <c r="BE145" s="163" t="str">
        <f t="shared" si="183"/>
        <v/>
      </c>
      <c r="BF145" s="160" t="str">
        <f t="shared" si="184"/>
        <v/>
      </c>
      <c r="BV145" s="46"/>
      <c r="BW145" s="46"/>
      <c r="BX145" s="46"/>
    </row>
    <row r="146" spans="1:76" ht="19.5" thickTop="1" thickBot="1" x14ac:dyDescent="0.3">
      <c r="A146" s="18">
        <v>9</v>
      </c>
      <c r="C146" s="325"/>
      <c r="D146" s="114"/>
      <c r="E146" s="114"/>
      <c r="F146" s="114"/>
      <c r="G146" s="114"/>
      <c r="H146" s="114"/>
      <c r="I146" s="114"/>
      <c r="J146" s="114"/>
      <c r="K146" s="114"/>
      <c r="L146" s="114"/>
      <c r="M146" s="114"/>
      <c r="N146" s="114"/>
      <c r="O146" s="114"/>
      <c r="P146" s="114"/>
      <c r="Q146" s="114"/>
      <c r="R146" s="114"/>
      <c r="S146" s="114"/>
      <c r="T146" s="114"/>
      <c r="U146" s="114" t="str">
        <f t="shared" si="193"/>
        <v/>
      </c>
      <c r="X146" s="225"/>
      <c r="Y146" s="225"/>
      <c r="Z146" s="225"/>
      <c r="AA146" s="226"/>
      <c r="AB146" s="226"/>
      <c r="AC146" s="226"/>
      <c r="AD146" s="226"/>
      <c r="AE146" s="226"/>
      <c r="AF146" s="226"/>
      <c r="AG146" s="225"/>
      <c r="AH146" s="226"/>
      <c r="AI146" s="267"/>
      <c r="AJ146" s="227"/>
      <c r="AK146" s="158" t="str">
        <f t="shared" si="163"/>
        <v/>
      </c>
      <c r="AL146" s="159">
        <f t="shared" si="186"/>
        <v>23</v>
      </c>
      <c r="AM146" s="166" t="str">
        <f t="shared" si="164"/>
        <v/>
      </c>
      <c r="AN146" s="163" t="str">
        <f t="shared" si="165"/>
        <v/>
      </c>
      <c r="AO146" s="431" t="str">
        <f t="shared" si="175"/>
        <v/>
      </c>
      <c r="AP146" s="196" t="str">
        <f t="shared" si="176"/>
        <v/>
      </c>
      <c r="AQ146" s="166" t="str">
        <f t="shared" si="166"/>
        <v/>
      </c>
      <c r="AR146" s="163" t="str">
        <f t="shared" si="167"/>
        <v/>
      </c>
      <c r="AS146" s="197" t="str">
        <f t="shared" si="177"/>
        <v/>
      </c>
      <c r="AT146" s="160" t="str">
        <f t="shared" si="178"/>
        <v/>
      </c>
      <c r="AU146" s="166" t="str">
        <f t="shared" si="168"/>
        <v/>
      </c>
      <c r="AV146" s="163" t="str">
        <f t="shared" si="169"/>
        <v/>
      </c>
      <c r="AW146" s="197" t="str">
        <f t="shared" si="179"/>
        <v/>
      </c>
      <c r="AX146" s="160" t="str">
        <f t="shared" si="180"/>
        <v/>
      </c>
      <c r="AY146" s="166" t="str">
        <f t="shared" si="170"/>
        <v/>
      </c>
      <c r="AZ146" s="163" t="str">
        <f t="shared" si="171"/>
        <v/>
      </c>
      <c r="BA146" s="163" t="str">
        <f t="shared" si="181"/>
        <v/>
      </c>
      <c r="BB146" s="160" t="str">
        <f t="shared" si="182"/>
        <v/>
      </c>
      <c r="BC146" s="166" t="str">
        <f t="shared" si="172"/>
        <v/>
      </c>
      <c r="BD146" s="163" t="str">
        <f t="shared" si="173"/>
        <v/>
      </c>
      <c r="BE146" s="163" t="str">
        <f t="shared" si="183"/>
        <v/>
      </c>
      <c r="BF146" s="160" t="str">
        <f t="shared" si="184"/>
        <v/>
      </c>
      <c r="BV146" s="46"/>
      <c r="BW146" s="46"/>
      <c r="BX146" s="46"/>
    </row>
    <row r="147" spans="1:76" ht="19.5" thickTop="1" thickBot="1" x14ac:dyDescent="0.3">
      <c r="A147" s="18">
        <v>10</v>
      </c>
      <c r="C147" s="325"/>
      <c r="D147" s="114"/>
      <c r="E147" s="114"/>
      <c r="F147" s="114"/>
      <c r="G147" s="114"/>
      <c r="H147" s="114"/>
      <c r="I147" s="114"/>
      <c r="J147" s="114"/>
      <c r="K147" s="114"/>
      <c r="L147" s="114"/>
      <c r="M147" s="114"/>
      <c r="N147" s="114"/>
      <c r="O147" s="114"/>
      <c r="P147" s="114"/>
      <c r="Q147" s="114"/>
      <c r="R147" s="114"/>
      <c r="S147" s="114"/>
      <c r="T147" s="114"/>
      <c r="U147" s="114" t="str">
        <f t="shared" si="193"/>
        <v/>
      </c>
      <c r="X147" s="225"/>
      <c r="Y147" s="225"/>
      <c r="Z147" s="225"/>
      <c r="AA147" s="226"/>
      <c r="AB147" s="226"/>
      <c r="AC147" s="226"/>
      <c r="AD147" s="226"/>
      <c r="AE147" s="226"/>
      <c r="AF147" s="226"/>
      <c r="AG147" s="225"/>
      <c r="AH147" s="226"/>
      <c r="AI147" s="267"/>
      <c r="AJ147" s="227"/>
      <c r="AK147" s="158" t="str">
        <f t="shared" si="163"/>
        <v/>
      </c>
      <c r="AL147" s="159">
        <f t="shared" si="186"/>
        <v>24</v>
      </c>
      <c r="AM147" s="166" t="str">
        <f t="shared" si="164"/>
        <v/>
      </c>
      <c r="AN147" s="163" t="str">
        <f t="shared" si="165"/>
        <v/>
      </c>
      <c r="AO147" s="431" t="str">
        <f t="shared" si="175"/>
        <v/>
      </c>
      <c r="AP147" s="196" t="str">
        <f t="shared" si="176"/>
        <v/>
      </c>
      <c r="AQ147" s="166" t="str">
        <f t="shared" si="166"/>
        <v/>
      </c>
      <c r="AR147" s="163" t="str">
        <f t="shared" si="167"/>
        <v/>
      </c>
      <c r="AS147" s="197" t="str">
        <f t="shared" si="177"/>
        <v/>
      </c>
      <c r="AT147" s="160" t="str">
        <f t="shared" si="178"/>
        <v/>
      </c>
      <c r="AU147" s="166" t="str">
        <f t="shared" si="168"/>
        <v/>
      </c>
      <c r="AV147" s="163" t="str">
        <f t="shared" si="169"/>
        <v/>
      </c>
      <c r="AW147" s="197" t="str">
        <f t="shared" si="179"/>
        <v/>
      </c>
      <c r="AX147" s="160" t="str">
        <f t="shared" si="180"/>
        <v/>
      </c>
      <c r="AY147" s="166" t="str">
        <f t="shared" si="170"/>
        <v/>
      </c>
      <c r="AZ147" s="163" t="str">
        <f t="shared" si="171"/>
        <v/>
      </c>
      <c r="BA147" s="163" t="str">
        <f t="shared" si="181"/>
        <v/>
      </c>
      <c r="BB147" s="160" t="str">
        <f t="shared" si="182"/>
        <v/>
      </c>
      <c r="BC147" s="166" t="str">
        <f t="shared" si="172"/>
        <v/>
      </c>
      <c r="BD147" s="163" t="str">
        <f t="shared" si="173"/>
        <v/>
      </c>
      <c r="BE147" s="163" t="str">
        <f t="shared" si="183"/>
        <v/>
      </c>
      <c r="BF147" s="160" t="str">
        <f t="shared" si="184"/>
        <v/>
      </c>
      <c r="BV147" s="46"/>
      <c r="BW147" s="46"/>
      <c r="BX147" s="46"/>
    </row>
    <row r="148" spans="1:76" ht="19.5" thickTop="1" thickBot="1" x14ac:dyDescent="0.3">
      <c r="C148" s="102"/>
      <c r="D148" s="221"/>
      <c r="E148" s="18"/>
      <c r="X148" s="225"/>
      <c r="Y148" s="225"/>
      <c r="Z148" s="225"/>
      <c r="AA148" s="226"/>
      <c r="AB148" s="226"/>
      <c r="AC148" s="226"/>
      <c r="AD148" s="226"/>
      <c r="AE148" s="226"/>
      <c r="AF148" s="226"/>
      <c r="AG148" s="225"/>
      <c r="AH148" s="226"/>
      <c r="AI148" s="267"/>
      <c r="AJ148" s="227"/>
      <c r="AK148" s="158" t="str">
        <f t="shared" si="163"/>
        <v/>
      </c>
      <c r="AL148" s="159">
        <f t="shared" si="186"/>
        <v>25</v>
      </c>
      <c r="AM148" s="166" t="str">
        <f t="shared" si="164"/>
        <v/>
      </c>
      <c r="AN148" s="163" t="str">
        <f t="shared" si="165"/>
        <v/>
      </c>
      <c r="AO148" s="431" t="str">
        <f t="shared" si="175"/>
        <v/>
      </c>
      <c r="AP148" s="196" t="str">
        <f t="shared" si="176"/>
        <v/>
      </c>
      <c r="AQ148" s="166" t="str">
        <f t="shared" si="166"/>
        <v/>
      </c>
      <c r="AR148" s="163" t="str">
        <f t="shared" si="167"/>
        <v/>
      </c>
      <c r="AS148" s="197" t="str">
        <f t="shared" si="177"/>
        <v/>
      </c>
      <c r="AT148" s="160" t="str">
        <f t="shared" si="178"/>
        <v/>
      </c>
      <c r="AU148" s="166" t="str">
        <f t="shared" si="168"/>
        <v/>
      </c>
      <c r="AV148" s="163" t="str">
        <f t="shared" si="169"/>
        <v/>
      </c>
      <c r="AW148" s="197" t="str">
        <f t="shared" si="179"/>
        <v/>
      </c>
      <c r="AX148" s="160" t="str">
        <f t="shared" si="180"/>
        <v/>
      </c>
      <c r="AY148" s="166" t="str">
        <f t="shared" si="170"/>
        <v/>
      </c>
      <c r="AZ148" s="163" t="str">
        <f t="shared" si="171"/>
        <v/>
      </c>
      <c r="BA148" s="163" t="str">
        <f t="shared" si="181"/>
        <v/>
      </c>
      <c r="BB148" s="160" t="str">
        <f t="shared" si="182"/>
        <v/>
      </c>
      <c r="BC148" s="166" t="str">
        <f t="shared" si="172"/>
        <v/>
      </c>
      <c r="BD148" s="163" t="str">
        <f t="shared" si="173"/>
        <v/>
      </c>
      <c r="BE148" s="163" t="str">
        <f t="shared" si="183"/>
        <v/>
      </c>
      <c r="BF148" s="160" t="str">
        <f t="shared" si="184"/>
        <v/>
      </c>
      <c r="BV148" s="46"/>
      <c r="BW148" s="46"/>
      <c r="BX148" s="46"/>
    </row>
    <row r="149" spans="1:76" ht="19.5" thickTop="1" thickBot="1" x14ac:dyDescent="0.3">
      <c r="C149" s="102"/>
      <c r="D149" s="197"/>
      <c r="E149" s="340"/>
      <c r="F149" s="197"/>
      <c r="G149" s="340"/>
      <c r="H149" s="197"/>
      <c r="I149" s="340"/>
      <c r="J149" s="197"/>
      <c r="K149" s="340"/>
      <c r="L149" s="197"/>
      <c r="M149" s="340"/>
      <c r="N149" s="197"/>
      <c r="O149" s="340"/>
      <c r="P149" s="197"/>
      <c r="Q149" s="340"/>
      <c r="R149" s="197"/>
      <c r="S149" s="340"/>
      <c r="T149" s="197"/>
      <c r="U149" s="31"/>
      <c r="V149" s="31"/>
      <c r="W149" s="31"/>
      <c r="X149" s="31"/>
      <c r="Y149" s="31"/>
      <c r="Z149" s="31"/>
      <c r="AG149" s="31"/>
      <c r="AJ149" s="204"/>
      <c r="AK149" s="158" t="str">
        <f t="shared" si="163"/>
        <v/>
      </c>
      <c r="AL149" s="159">
        <f t="shared" si="186"/>
        <v>26</v>
      </c>
      <c r="AM149" s="166" t="str">
        <f t="shared" si="164"/>
        <v/>
      </c>
      <c r="AN149" s="163" t="str">
        <f t="shared" si="165"/>
        <v/>
      </c>
      <c r="AO149" s="431" t="str">
        <f t="shared" si="175"/>
        <v/>
      </c>
      <c r="AP149" s="196" t="str">
        <f t="shared" si="176"/>
        <v/>
      </c>
      <c r="AQ149" s="166" t="str">
        <f t="shared" si="166"/>
        <v/>
      </c>
      <c r="AR149" s="163" t="str">
        <f t="shared" si="167"/>
        <v/>
      </c>
      <c r="AS149" s="197" t="str">
        <f t="shared" si="177"/>
        <v/>
      </c>
      <c r="AT149" s="160" t="str">
        <f t="shared" si="178"/>
        <v/>
      </c>
      <c r="AU149" s="166" t="str">
        <f t="shared" si="168"/>
        <v/>
      </c>
      <c r="AV149" s="163" t="str">
        <f t="shared" si="169"/>
        <v/>
      </c>
      <c r="AW149" s="197" t="str">
        <f t="shared" si="179"/>
        <v/>
      </c>
      <c r="AX149" s="160" t="str">
        <f t="shared" si="180"/>
        <v/>
      </c>
      <c r="AY149" s="166" t="str">
        <f t="shared" si="170"/>
        <v/>
      </c>
      <c r="AZ149" s="163" t="str">
        <f t="shared" si="171"/>
        <v/>
      </c>
      <c r="BA149" s="163" t="str">
        <f t="shared" si="181"/>
        <v/>
      </c>
      <c r="BB149" s="160" t="str">
        <f t="shared" si="182"/>
        <v/>
      </c>
      <c r="BC149" s="166" t="str">
        <f t="shared" si="172"/>
        <v/>
      </c>
      <c r="BD149" s="163" t="str">
        <f t="shared" si="173"/>
        <v/>
      </c>
      <c r="BE149" s="163" t="str">
        <f t="shared" si="183"/>
        <v/>
      </c>
      <c r="BF149" s="160" t="str">
        <f t="shared" si="184"/>
        <v/>
      </c>
      <c r="BV149" s="46"/>
      <c r="BW149" s="46"/>
      <c r="BX149" s="46"/>
    </row>
    <row r="150" spans="1:76" ht="19.5" thickTop="1" thickBot="1" x14ac:dyDescent="0.3">
      <c r="D150" s="61"/>
      <c r="F150" s="16"/>
      <c r="G150" s="16"/>
      <c r="H150" s="46"/>
      <c r="I150" s="46"/>
      <c r="J150" s="46"/>
      <c r="K150" s="46"/>
      <c r="L150" s="46"/>
      <c r="M150" s="46"/>
      <c r="N150" s="46"/>
      <c r="O150" s="46"/>
      <c r="Q150" s="46"/>
      <c r="R150" s="225"/>
      <c r="S150" s="225"/>
      <c r="T150" s="225"/>
      <c r="U150" s="225"/>
      <c r="V150" s="225"/>
      <c r="W150" s="225"/>
      <c r="AG150" s="31"/>
      <c r="AK150" s="158" t="str">
        <f t="shared" si="163"/>
        <v/>
      </c>
      <c r="AL150" s="159">
        <f t="shared" si="186"/>
        <v>27</v>
      </c>
      <c r="AM150" s="166" t="str">
        <f t="shared" si="164"/>
        <v/>
      </c>
      <c r="AN150" s="163" t="str">
        <f t="shared" si="165"/>
        <v/>
      </c>
      <c r="AO150" s="431" t="str">
        <f t="shared" si="175"/>
        <v/>
      </c>
      <c r="AP150" s="196" t="str">
        <f>+IF(AND(AM150=3,P42=4),+S42,"")</f>
        <v/>
      </c>
      <c r="AQ150" s="166" t="str">
        <f t="shared" si="166"/>
        <v/>
      </c>
      <c r="AR150" s="163" t="str">
        <f t="shared" si="167"/>
        <v/>
      </c>
      <c r="AS150" s="197" t="str">
        <f t="shared" si="177"/>
        <v/>
      </c>
      <c r="AT150" s="160" t="str">
        <f t="shared" si="178"/>
        <v/>
      </c>
      <c r="AU150" s="166" t="str">
        <f t="shared" si="168"/>
        <v/>
      </c>
      <c r="AV150" s="163" t="str">
        <f t="shared" si="169"/>
        <v/>
      </c>
      <c r="AW150" s="197" t="str">
        <f t="shared" si="179"/>
        <v/>
      </c>
      <c r="AX150" s="160" t="str">
        <f t="shared" si="180"/>
        <v/>
      </c>
      <c r="AY150" s="166" t="str">
        <f t="shared" si="170"/>
        <v/>
      </c>
      <c r="AZ150" s="163" t="str">
        <f t="shared" si="171"/>
        <v/>
      </c>
      <c r="BA150" s="163" t="str">
        <f t="shared" si="181"/>
        <v/>
      </c>
      <c r="BB150" s="160" t="str">
        <f t="shared" si="182"/>
        <v/>
      </c>
      <c r="BC150" s="166" t="str">
        <f t="shared" si="172"/>
        <v/>
      </c>
      <c r="BD150" s="163" t="str">
        <f t="shared" si="173"/>
        <v/>
      </c>
      <c r="BE150" s="163" t="str">
        <f t="shared" si="183"/>
        <v/>
      </c>
      <c r="BF150" s="160" t="str">
        <f t="shared" si="184"/>
        <v/>
      </c>
    </row>
    <row r="151" spans="1:76" ht="19.5" thickTop="1" thickBot="1" x14ac:dyDescent="0.3">
      <c r="F151" s="16"/>
      <c r="G151" s="16"/>
      <c r="H151" s="46"/>
      <c r="I151" s="46"/>
      <c r="J151" s="46"/>
      <c r="K151" s="46"/>
      <c r="L151" s="46"/>
      <c r="M151" s="46"/>
      <c r="N151" s="46"/>
      <c r="O151" s="46"/>
      <c r="P151" s="46"/>
      <c r="Q151" s="46"/>
      <c r="R151" s="225"/>
      <c r="S151" s="225"/>
      <c r="T151" s="225"/>
      <c r="U151" s="225"/>
      <c r="V151" s="225"/>
      <c r="W151" s="225"/>
      <c r="AG151" s="31"/>
      <c r="AK151" s="158" t="str">
        <f t="shared" si="163"/>
        <v/>
      </c>
      <c r="AL151" s="159">
        <f t="shared" si="186"/>
        <v>28</v>
      </c>
      <c r="AM151" s="166" t="str">
        <f t="shared" si="164"/>
        <v/>
      </c>
      <c r="AN151" s="163" t="str">
        <f t="shared" si="165"/>
        <v/>
      </c>
      <c r="AO151" s="431" t="str">
        <f t="shared" si="175"/>
        <v/>
      </c>
      <c r="AP151" s="196" t="str">
        <f t="shared" si="176"/>
        <v/>
      </c>
      <c r="AQ151" s="166" t="str">
        <f t="shared" si="166"/>
        <v/>
      </c>
      <c r="AR151" s="163" t="str">
        <f t="shared" si="167"/>
        <v/>
      </c>
      <c r="AS151" s="197" t="str">
        <f t="shared" si="177"/>
        <v/>
      </c>
      <c r="AT151" s="160" t="str">
        <f t="shared" si="178"/>
        <v/>
      </c>
      <c r="AU151" s="166" t="str">
        <f t="shared" si="168"/>
        <v/>
      </c>
      <c r="AV151" s="163" t="str">
        <f t="shared" si="169"/>
        <v/>
      </c>
      <c r="AW151" s="197" t="str">
        <f t="shared" si="179"/>
        <v/>
      </c>
      <c r="AX151" s="160" t="str">
        <f t="shared" si="180"/>
        <v/>
      </c>
      <c r="AY151" s="166" t="str">
        <f t="shared" si="170"/>
        <v/>
      </c>
      <c r="AZ151" s="163" t="str">
        <f t="shared" si="171"/>
        <v/>
      </c>
      <c r="BA151" s="163" t="str">
        <f t="shared" si="181"/>
        <v/>
      </c>
      <c r="BB151" s="160" t="str">
        <f t="shared" si="182"/>
        <v/>
      </c>
      <c r="BC151" s="166" t="str">
        <f t="shared" si="172"/>
        <v/>
      </c>
      <c r="BD151" s="163" t="str">
        <f t="shared" si="173"/>
        <v/>
      </c>
      <c r="BE151" s="163" t="str">
        <f t="shared" si="183"/>
        <v/>
      </c>
      <c r="BF151" s="160" t="str">
        <f t="shared" si="184"/>
        <v/>
      </c>
    </row>
    <row r="152" spans="1:76" ht="19.5" thickTop="1" thickBot="1" x14ac:dyDescent="0.3">
      <c r="F152" s="16"/>
      <c r="G152" s="16"/>
      <c r="H152" s="46"/>
      <c r="I152" s="46"/>
      <c r="J152" s="46"/>
      <c r="K152" s="46"/>
      <c r="L152" s="46"/>
      <c r="M152" s="46"/>
      <c r="N152" s="46"/>
      <c r="O152" s="228"/>
      <c r="Q152" s="229"/>
      <c r="R152" s="225"/>
      <c r="S152" s="225"/>
      <c r="T152" s="225"/>
      <c r="U152" s="225"/>
      <c r="V152" s="225"/>
      <c r="W152" s="225"/>
      <c r="AG152" s="31"/>
      <c r="AK152" s="158" t="str">
        <f t="shared" si="163"/>
        <v/>
      </c>
      <c r="AL152" s="159">
        <f t="shared" si="186"/>
        <v>29</v>
      </c>
      <c r="AM152" s="166" t="str">
        <f t="shared" si="164"/>
        <v/>
      </c>
      <c r="AN152" s="163" t="str">
        <f t="shared" si="165"/>
        <v/>
      </c>
      <c r="AO152" s="431" t="str">
        <f t="shared" si="175"/>
        <v/>
      </c>
      <c r="AP152" s="196" t="str">
        <f t="shared" si="176"/>
        <v/>
      </c>
      <c r="AQ152" s="166" t="str">
        <f t="shared" si="166"/>
        <v/>
      </c>
      <c r="AR152" s="163" t="str">
        <f t="shared" si="167"/>
        <v/>
      </c>
      <c r="AS152" s="197" t="str">
        <f t="shared" si="177"/>
        <v/>
      </c>
      <c r="AT152" s="160" t="str">
        <f t="shared" si="178"/>
        <v/>
      </c>
      <c r="AU152" s="166" t="str">
        <f t="shared" si="168"/>
        <v/>
      </c>
      <c r="AV152" s="163" t="str">
        <f t="shared" si="169"/>
        <v/>
      </c>
      <c r="AW152" s="197" t="str">
        <f t="shared" si="179"/>
        <v/>
      </c>
      <c r="AX152" s="160" t="str">
        <f t="shared" si="180"/>
        <v/>
      </c>
      <c r="AY152" s="166" t="str">
        <f t="shared" si="170"/>
        <v/>
      </c>
      <c r="AZ152" s="163" t="str">
        <f t="shared" si="171"/>
        <v/>
      </c>
      <c r="BA152" s="163" t="str">
        <f t="shared" si="181"/>
        <v/>
      </c>
      <c r="BB152" s="160" t="str">
        <f t="shared" si="182"/>
        <v/>
      </c>
      <c r="BC152" s="166" t="str">
        <f t="shared" si="172"/>
        <v/>
      </c>
      <c r="BD152" s="163" t="str">
        <f t="shared" si="173"/>
        <v/>
      </c>
      <c r="BE152" s="163" t="str">
        <f t="shared" si="183"/>
        <v/>
      </c>
      <c r="BF152" s="160" t="str">
        <f t="shared" si="184"/>
        <v/>
      </c>
    </row>
    <row r="153" spans="1:76" ht="18.75" thickTop="1" x14ac:dyDescent="0.25">
      <c r="F153" s="16"/>
      <c r="G153" s="16"/>
      <c r="H153" s="46"/>
      <c r="I153" s="46"/>
      <c r="J153" s="46"/>
      <c r="K153" s="46"/>
      <c r="L153" s="46"/>
      <c r="M153" s="46"/>
      <c r="N153" s="46"/>
      <c r="O153" s="230"/>
      <c r="P153" s="46"/>
      <c r="Q153" s="229"/>
      <c r="R153" s="231"/>
      <c r="S153" s="231"/>
      <c r="T153" s="231"/>
      <c r="U153" s="31"/>
      <c r="V153" s="225"/>
      <c r="W153" s="225"/>
      <c r="AG153" s="31"/>
      <c r="AK153" s="158" t="str">
        <f t="shared" si="163"/>
        <v/>
      </c>
      <c r="AL153" s="159">
        <f t="shared" si="186"/>
        <v>30</v>
      </c>
      <c r="AM153" s="166" t="str">
        <f t="shared" si="164"/>
        <v/>
      </c>
      <c r="AN153" s="163" t="str">
        <f t="shared" si="165"/>
        <v/>
      </c>
      <c r="AO153" s="431" t="str">
        <f t="shared" si="175"/>
        <v/>
      </c>
      <c r="AP153" s="196" t="str">
        <f t="shared" si="176"/>
        <v/>
      </c>
      <c r="AQ153" s="166" t="str">
        <f t="shared" si="166"/>
        <v/>
      </c>
      <c r="AR153" s="163" t="str">
        <f t="shared" si="167"/>
        <v/>
      </c>
      <c r="AS153" s="197" t="str">
        <f t="shared" si="177"/>
        <v/>
      </c>
      <c r="AT153" s="160" t="str">
        <f t="shared" si="178"/>
        <v/>
      </c>
      <c r="AU153" s="166" t="str">
        <f t="shared" si="168"/>
        <v/>
      </c>
      <c r="AV153" s="163" t="str">
        <f t="shared" si="169"/>
        <v/>
      </c>
      <c r="AW153" s="197" t="str">
        <f t="shared" si="179"/>
        <v/>
      </c>
      <c r="AX153" s="160" t="str">
        <f t="shared" si="180"/>
        <v/>
      </c>
      <c r="AY153" s="166" t="str">
        <f t="shared" si="170"/>
        <v/>
      </c>
      <c r="AZ153" s="163" t="str">
        <f t="shared" si="171"/>
        <v/>
      </c>
      <c r="BA153" s="163" t="str">
        <f t="shared" si="181"/>
        <v/>
      </c>
      <c r="BB153" s="160" t="str">
        <f t="shared" si="182"/>
        <v/>
      </c>
      <c r="BC153" s="166" t="str">
        <f t="shared" si="172"/>
        <v/>
      </c>
      <c r="BD153" s="163" t="str">
        <f t="shared" si="173"/>
        <v/>
      </c>
      <c r="BE153" s="163" t="str">
        <f t="shared" si="183"/>
        <v/>
      </c>
      <c r="BF153" s="160" t="str">
        <f t="shared" si="184"/>
        <v/>
      </c>
    </row>
    <row r="154" spans="1:76" ht="18.75" thickBot="1" x14ac:dyDescent="0.3">
      <c r="O154" s="31"/>
      <c r="P154" s="31"/>
      <c r="Q154" s="31"/>
      <c r="R154" s="31"/>
      <c r="S154" s="31"/>
      <c r="T154" s="31"/>
      <c r="U154" s="31"/>
      <c r="V154" s="31"/>
      <c r="W154" s="31"/>
      <c r="AG154" s="31"/>
      <c r="AK154" s="232"/>
      <c r="AL154" s="148">
        <f>+C155</f>
        <v>0</v>
      </c>
      <c r="AM154" s="55"/>
      <c r="AN154" s="46"/>
      <c r="AO154" s="176" t="str">
        <f>+IF(COUNT(AO124:AO153)&lt;3,"N/A",IF(SUM(AO124:AO153)="","",RSQ(AO124:AO153,AP124:AP153)))</f>
        <v>N/A</v>
      </c>
      <c r="AP154" s="177"/>
      <c r="AQ154" s="178"/>
      <c r="AR154" s="46"/>
      <c r="AS154" s="176" t="str">
        <f>+IF(COUNT(AS124:AS153)&lt;3,"N/A",IF(SUM(AS124:AS153)="","",RSQ(AS124:AS153,AT124:AT153)))</f>
        <v>N/A</v>
      </c>
      <c r="AT154" s="46"/>
      <c r="AU154" s="179" t="str">
        <f>+IF($L154="","",$L154)</f>
        <v/>
      </c>
      <c r="AV154" s="46"/>
      <c r="AW154" s="176" t="str">
        <f>+IF(COUNT(AW124:AW153)&lt;3,"N/A",IF(SUM(AW124:AW153)="","",RSQ(AW124:AW153,AX124:AX153)))</f>
        <v>N/A</v>
      </c>
      <c r="AX154" s="46"/>
      <c r="AY154" s="179" t="str">
        <f>+IF($L154="","",$L154)</f>
        <v/>
      </c>
      <c r="AZ154" s="46"/>
      <c r="BA154" s="176" t="str">
        <f>+IF(COUNT(BA124:BA153)&lt;3,"N/A",IF(SUM(BA124:BA153)="","",RSQ(BA124:BA153,BB124:BB153)))</f>
        <v>N/A</v>
      </c>
      <c r="BB154" s="46"/>
      <c r="BC154" s="179" t="str">
        <f>+IF($L154="","",$L154)</f>
        <v/>
      </c>
      <c r="BD154" s="46"/>
      <c r="BE154" s="176" t="str">
        <f>+IF(COUNT(BE124:BE153)&lt;3,"N/A",IF(SUM(BE124:BE153)="","",RSQ(BE124:BE153,BF124:BF153)))</f>
        <v>N/A</v>
      </c>
      <c r="BF154" s="46"/>
    </row>
    <row r="155" spans="1:76" ht="18.75" thickTop="1" x14ac:dyDescent="0.25">
      <c r="O155" s="31"/>
      <c r="P155" s="31"/>
      <c r="Q155" s="31"/>
      <c r="R155" s="31"/>
      <c r="S155" s="31"/>
      <c r="T155" s="31"/>
      <c r="U155" s="31"/>
      <c r="V155" s="31"/>
      <c r="W155" s="31"/>
      <c r="AG155" s="31"/>
      <c r="AK155" s="232"/>
      <c r="AL155" s="55"/>
      <c r="AM155" s="55"/>
      <c r="AN155" s="46"/>
      <c r="AO155" s="220" t="s">
        <v>94</v>
      </c>
      <c r="AP155" s="182"/>
      <c r="AQ155" s="182"/>
      <c r="AR155" s="46"/>
      <c r="AS155" s="47" t="s">
        <v>95</v>
      </c>
      <c r="AT155" s="46"/>
      <c r="AU155" s="46"/>
      <c r="AV155" s="46"/>
      <c r="AW155" s="144" t="s">
        <v>96</v>
      </c>
      <c r="AX155" s="46"/>
      <c r="AY155" s="46"/>
      <c r="AZ155" s="46"/>
      <c r="BA155" s="144" t="s">
        <v>97</v>
      </c>
      <c r="BB155" s="46" t="str">
        <f>+IF(P155=10,+S155,"")</f>
        <v/>
      </c>
      <c r="BC155" s="46"/>
      <c r="BD155" s="46"/>
      <c r="BE155" s="144" t="s">
        <v>98</v>
      </c>
      <c r="BF155" s="46"/>
    </row>
    <row r="156" spans="1:76" ht="27.75" x14ac:dyDescent="0.25">
      <c r="O156" s="31"/>
      <c r="P156" s="31"/>
      <c r="Q156" s="31"/>
      <c r="R156" s="31"/>
      <c r="S156" s="31"/>
      <c r="T156" s="31"/>
      <c r="U156" s="31"/>
      <c r="V156" s="31"/>
      <c r="W156" s="31"/>
      <c r="AG156" s="31"/>
      <c r="AK156" s="232"/>
      <c r="AL156" s="50"/>
      <c r="AM156" s="50"/>
      <c r="AN156" s="46" t="str">
        <f>+IF(P156=4,4,"")</f>
        <v/>
      </c>
      <c r="AO156" s="182"/>
      <c r="AP156" s="182"/>
      <c r="AQ156" s="182"/>
      <c r="AR156" s="46"/>
      <c r="AS156" s="476" t="s">
        <v>73</v>
      </c>
      <c r="AT156" s="476"/>
      <c r="AU156" s="476"/>
      <c r="AV156" s="476"/>
      <c r="AW156" s="476"/>
      <c r="AX156" s="46"/>
      <c r="AY156" s="46"/>
      <c r="AZ156" s="46"/>
      <c r="BA156" s="46" t="str">
        <f>+IF(P156=10,+Q156,"")</f>
        <v/>
      </c>
      <c r="BB156" s="46" t="str">
        <f>+IF(P156=10,+S156,"")</f>
        <v/>
      </c>
      <c r="BC156" s="46"/>
      <c r="BD156" s="46"/>
      <c r="BE156" s="46"/>
      <c r="BF156" s="46"/>
    </row>
    <row r="157" spans="1:76" x14ac:dyDescent="0.25">
      <c r="O157" s="31"/>
      <c r="P157" s="31"/>
      <c r="Q157" s="31"/>
      <c r="R157" s="31"/>
      <c r="S157" s="31"/>
      <c r="T157" s="31"/>
      <c r="U157" s="31"/>
      <c r="V157" s="31"/>
      <c r="W157" s="31"/>
      <c r="AG157" s="31"/>
      <c r="AK157" s="232"/>
      <c r="AL157" s="50"/>
      <c r="AM157" s="50"/>
      <c r="AN157" s="470" t="s">
        <v>51</v>
      </c>
      <c r="AO157" s="470"/>
      <c r="AP157" s="470"/>
      <c r="AQ157" s="144"/>
      <c r="AR157" s="470" t="s">
        <v>52</v>
      </c>
      <c r="AS157" s="470"/>
      <c r="AT157" s="470"/>
      <c r="AU157" s="144"/>
      <c r="AV157" s="470" t="s">
        <v>53</v>
      </c>
      <c r="AW157" s="470"/>
      <c r="AX157" s="470"/>
      <c r="AY157" s="144"/>
      <c r="AZ157" s="470" t="s">
        <v>54</v>
      </c>
      <c r="BA157" s="470"/>
      <c r="BB157" s="470"/>
      <c r="BC157" s="144"/>
      <c r="BD157" s="470" t="s">
        <v>55</v>
      </c>
      <c r="BE157" s="470"/>
      <c r="BF157" s="470"/>
    </row>
    <row r="158" spans="1:76" ht="18.75" thickBot="1" x14ac:dyDescent="0.3">
      <c r="O158" s="102"/>
      <c r="P158" s="102"/>
      <c r="Q158" s="102"/>
      <c r="R158" s="102"/>
      <c r="S158" s="102"/>
      <c r="T158" s="102"/>
      <c r="U158" s="102"/>
      <c r="V158" s="102"/>
      <c r="W158" s="102"/>
      <c r="AG158" s="31"/>
      <c r="AK158" s="232"/>
      <c r="AL158" s="169"/>
      <c r="AM158" s="55"/>
      <c r="AN158" s="152" t="s">
        <v>26</v>
      </c>
      <c r="AO158" s="154" t="str">
        <f>+AO123</f>
        <v>count ratio</v>
      </c>
      <c r="AP158" s="152" t="s">
        <v>27</v>
      </c>
      <c r="AQ158" s="152"/>
      <c r="AR158" s="152" t="s">
        <v>26</v>
      </c>
      <c r="AS158" s="154" t="str">
        <f>+AO158</f>
        <v>count ratio</v>
      </c>
      <c r="AT158" s="152" t="s">
        <v>27</v>
      </c>
      <c r="AU158" s="152"/>
      <c r="AV158" s="152" t="s">
        <v>26</v>
      </c>
      <c r="AW158" s="154" t="str">
        <f>+AS158</f>
        <v>count ratio</v>
      </c>
      <c r="AX158" s="152" t="s">
        <v>27</v>
      </c>
      <c r="AY158" s="152"/>
      <c r="AZ158" s="152" t="s">
        <v>26</v>
      </c>
      <c r="BA158" s="154" t="str">
        <f>+AW158</f>
        <v>count ratio</v>
      </c>
      <c r="BB158" s="152" t="s">
        <v>27</v>
      </c>
      <c r="BC158" s="152"/>
      <c r="BD158" s="152" t="s">
        <v>26</v>
      </c>
      <c r="BE158" s="154" t="str">
        <f>+BA158</f>
        <v>count ratio</v>
      </c>
      <c r="BF158" s="152" t="s">
        <v>27</v>
      </c>
    </row>
    <row r="159" spans="1:76" ht="18.75" thickBot="1" x14ac:dyDescent="0.3">
      <c r="G159" s="16"/>
      <c r="H159" s="16"/>
      <c r="O159" s="102"/>
      <c r="P159" s="102"/>
      <c r="Q159" s="102"/>
      <c r="R159" s="102"/>
      <c r="S159" s="102"/>
      <c r="T159" s="102"/>
      <c r="U159" s="102"/>
      <c r="V159" s="102"/>
      <c r="W159" s="102"/>
      <c r="AG159" s="31"/>
      <c r="AK159" s="232"/>
      <c r="AL159" s="48" t="s">
        <v>68</v>
      </c>
      <c r="AM159" s="86"/>
      <c r="AN159" s="163" t="str">
        <f>+IF(P$48=4,4,"")</f>
        <v/>
      </c>
      <c r="AO159" s="162"/>
      <c r="AP159" s="162"/>
      <c r="AQ159" s="162"/>
      <c r="AR159" s="163"/>
      <c r="AS159" s="163"/>
      <c r="AT159" s="163"/>
      <c r="AU159" s="163"/>
      <c r="AV159" s="163"/>
      <c r="AW159" s="163"/>
      <c r="AX159" s="163"/>
      <c r="AY159" s="163"/>
      <c r="AZ159" s="163"/>
      <c r="BA159" s="163" t="str">
        <f>+IF(P159=10,+Q159,"")</f>
        <v/>
      </c>
      <c r="BB159" s="163" t="str">
        <f>+IF(P159=10,+S159,"")</f>
        <v/>
      </c>
      <c r="BC159" s="163"/>
      <c r="BD159" s="163"/>
      <c r="BE159" s="163"/>
      <c r="BF159" s="163"/>
    </row>
    <row r="160" spans="1:76" ht="20.25" thickTop="1" thickBot="1" x14ac:dyDescent="0.35">
      <c r="G160" s="46"/>
      <c r="H160" s="46"/>
      <c r="O160" s="102"/>
      <c r="P160" s="233"/>
      <c r="Q160" s="233"/>
      <c r="R160" s="233"/>
      <c r="S160" s="233"/>
      <c r="T160" s="233"/>
      <c r="U160" s="102"/>
      <c r="V160" s="102"/>
      <c r="W160" s="102"/>
      <c r="AG160" s="31"/>
      <c r="AK160" s="158">
        <f t="shared" ref="AK160:AK166" si="194">+IF(E48="","",E48)</f>
        <v>42361</v>
      </c>
      <c r="AL160" s="159">
        <v>1</v>
      </c>
      <c r="AM160" s="85" t="str">
        <f t="shared" ref="AM160:AM166" si="195">+IF($L48="","",IF($L48=3,3,""))</f>
        <v/>
      </c>
      <c r="AN160" s="160" t="str">
        <f t="shared" ref="AN160:AN166" si="196">+IF(AND(AM160=3,P48=4),4,"")</f>
        <v/>
      </c>
      <c r="AO160" s="161" t="str">
        <f t="shared" ref="AO160:AO166" si="197">+IF(AK160="","",IF(AND(AM160=3,AN160=4),+(Q48/VLOOKUP($AK104,$T$69:$U$73,2)),""))</f>
        <v/>
      </c>
      <c r="AP160" s="196" t="str">
        <f t="shared" ref="AP160:AP166" si="198">+IF(AND(AM160=3,P48=4),+S48,"")</f>
        <v/>
      </c>
      <c r="AQ160" s="85" t="str">
        <f t="shared" ref="AQ160:AQ166" si="199">+IF($L48="","",IF($L48=3,3,""))</f>
        <v/>
      </c>
      <c r="AR160" s="160" t="str">
        <f t="shared" ref="AR160:AR166" si="200">+IF(AND(AQ160=3,P48=6),6,"")</f>
        <v/>
      </c>
      <c r="AS160" s="197" t="str">
        <f>+IF(AK160="","",IF(AND(AQ160=3,P48=6),+Q48/VLOOKUP($AK160,$T$69:$U$73,2),""))</f>
        <v/>
      </c>
      <c r="AT160" s="160" t="str">
        <f t="shared" ref="AT160:AT166" si="201">+IF(AND(AQ160=3,P48=6),+S48,"")</f>
        <v/>
      </c>
      <c r="AU160" s="85" t="str">
        <f t="shared" ref="AU160:AU166" si="202">+IF($L48="","",IF($L48=3,3,""))</f>
        <v/>
      </c>
      <c r="AV160" s="160" t="str">
        <f t="shared" ref="AV160:AV166" si="203">+IF(AND(AU160=3,P48=8),8,"")</f>
        <v/>
      </c>
      <c r="AW160" s="197" t="str">
        <f>+IF(AK160="","",IF(AND(AU160=3,P48=8),+Q48/VLOOKUP($AK160,$T$69:$U$73,2),""))</f>
        <v/>
      </c>
      <c r="AX160" s="160" t="str">
        <f>+IF(AND(AU160=3,P48=8),+S48,"")</f>
        <v/>
      </c>
      <c r="AY160" s="85" t="str">
        <f t="shared" ref="AY160:AY166" si="204">+IF($L48="","",IF($L48=3,3,""))</f>
        <v/>
      </c>
      <c r="AZ160" s="160" t="str">
        <f t="shared" ref="AZ160:AZ166" si="205">+IF(AND(AY160=3,P48=10),10,"")</f>
        <v/>
      </c>
      <c r="BA160" s="163" t="str">
        <f>+IF(AK160="","",IF(AND(AY160=3,P48=10),+Q48/VLOOKUP($AK160,$T$69:$U$73,2),""))</f>
        <v/>
      </c>
      <c r="BB160" s="160" t="str">
        <f>+IF(AND(AY160=3,P48=10),+S48,"")</f>
        <v/>
      </c>
      <c r="BC160" s="85" t="str">
        <f t="shared" ref="BC160:BC166" si="206">+IF($L48="","",IF($L48=3,3,""))</f>
        <v/>
      </c>
      <c r="BD160" s="160" t="str">
        <f t="shared" ref="BD160:BD166" si="207">+IF(AND(BC160=3,P48=12),12,"")</f>
        <v/>
      </c>
      <c r="BE160" s="163" t="str">
        <f>+IF(AK160="","",IF(AND(BC160=3,P48=12),+Q48/VLOOKUP($AK160,$T$69:$U$73,2),""))</f>
        <v/>
      </c>
      <c r="BF160" s="160" t="str">
        <f>+IF(AND(BC160=3,P48=12),+S48,"")</f>
        <v/>
      </c>
    </row>
    <row r="161" spans="7:58" ht="19.5" thickTop="1" thickBot="1" x14ac:dyDescent="0.3">
      <c r="G161" s="46"/>
      <c r="H161" s="234"/>
      <c r="O161" s="102"/>
      <c r="P161" s="43"/>
      <c r="Q161" s="235"/>
      <c r="R161" s="235"/>
      <c r="S161" s="235"/>
      <c r="T161" s="235"/>
      <c r="U161" s="102"/>
      <c r="V161" s="102"/>
      <c r="W161" s="102"/>
      <c r="AG161" s="31"/>
      <c r="AK161" s="158">
        <f t="shared" si="194"/>
        <v>42361</v>
      </c>
      <c r="AL161" s="159">
        <f>+AL160+1</f>
        <v>2</v>
      </c>
      <c r="AM161" s="166" t="str">
        <f t="shared" si="195"/>
        <v/>
      </c>
      <c r="AN161" s="163" t="str">
        <f t="shared" si="196"/>
        <v/>
      </c>
      <c r="AO161" s="161" t="str">
        <f t="shared" si="197"/>
        <v/>
      </c>
      <c r="AP161" s="162" t="str">
        <f t="shared" si="198"/>
        <v/>
      </c>
      <c r="AQ161" s="166" t="str">
        <f t="shared" si="199"/>
        <v/>
      </c>
      <c r="AR161" s="163" t="str">
        <f t="shared" si="200"/>
        <v/>
      </c>
      <c r="AS161" s="197" t="str">
        <f t="shared" ref="AS161:AS168" si="208">+IF(AK161="","",IF(AND(AQ161=3,P49=6),+Q49/VLOOKUP($AK161,$T$69:$U$73,2),""))</f>
        <v/>
      </c>
      <c r="AT161" s="163" t="str">
        <f t="shared" si="201"/>
        <v/>
      </c>
      <c r="AU161" s="166" t="str">
        <f t="shared" si="202"/>
        <v/>
      </c>
      <c r="AV161" s="163" t="str">
        <f t="shared" si="203"/>
        <v/>
      </c>
      <c r="AW161" s="197" t="str">
        <f t="shared" ref="AW161:AW168" si="209">+IF(AK161="","",IF(AND(AU161=3,P49=8),+Q49/VLOOKUP($AK161,$T$69:$U$73,2),""))</f>
        <v/>
      </c>
      <c r="AX161" s="160" t="str">
        <f t="shared" ref="AX161:AX168" si="210">+IF(AND(AU161=3,P49=8),+S49,"")</f>
        <v/>
      </c>
      <c r="AY161" s="166" t="str">
        <f t="shared" si="204"/>
        <v/>
      </c>
      <c r="AZ161" s="163" t="str">
        <f t="shared" si="205"/>
        <v/>
      </c>
      <c r="BA161" s="163" t="str">
        <f t="shared" ref="BA161:BA168" si="211">+IF(AK161="","",IF(AND(AY161=3,P49=10),+Q49/VLOOKUP($AK161,$T$69:$U$73,2),""))</f>
        <v/>
      </c>
      <c r="BB161" s="160" t="str">
        <f t="shared" ref="BB161:BB168" si="212">+IF(AND(AY161=3,P49=10),+S49,"")</f>
        <v/>
      </c>
      <c r="BC161" s="166" t="str">
        <f t="shared" si="206"/>
        <v/>
      </c>
      <c r="BD161" s="163" t="str">
        <f t="shared" si="207"/>
        <v/>
      </c>
      <c r="BE161" s="163" t="str">
        <f t="shared" ref="BE161:BE168" si="213">+IF(AK161="","",IF(AND(BC161=3,P49=12),+Q49/VLOOKUP($AK161,$T$69:$U$73,2),""))</f>
        <v/>
      </c>
      <c r="BF161" s="160" t="str">
        <f t="shared" ref="BF161:BF168" si="214">+IF(AND(BC161=3,P49=12),+S49,"")</f>
        <v/>
      </c>
    </row>
    <row r="162" spans="7:58" ht="19.5" thickTop="1" thickBot="1" x14ac:dyDescent="0.3">
      <c r="G162" s="144"/>
      <c r="H162" s="144"/>
      <c r="O162" s="102"/>
      <c r="P162" s="43"/>
      <c r="Q162" s="236"/>
      <c r="R162" s="236"/>
      <c r="S162" s="236"/>
      <c r="T162" s="236"/>
      <c r="U162" s="102"/>
      <c r="V162" s="102"/>
      <c r="W162" s="102"/>
      <c r="AG162" s="31"/>
      <c r="AK162" s="158">
        <f t="shared" si="194"/>
        <v>42361</v>
      </c>
      <c r="AL162" s="159">
        <f t="shared" ref="AL162:AL168" si="215">+AL161+1</f>
        <v>3</v>
      </c>
      <c r="AM162" s="166" t="str">
        <f t="shared" si="195"/>
        <v/>
      </c>
      <c r="AN162" s="163" t="str">
        <f t="shared" si="196"/>
        <v/>
      </c>
      <c r="AO162" s="161" t="str">
        <f t="shared" si="197"/>
        <v/>
      </c>
      <c r="AP162" s="162" t="str">
        <f t="shared" si="198"/>
        <v/>
      </c>
      <c r="AQ162" s="166" t="str">
        <f t="shared" si="199"/>
        <v/>
      </c>
      <c r="AR162" s="163" t="str">
        <f t="shared" si="200"/>
        <v/>
      </c>
      <c r="AS162" s="197" t="str">
        <f t="shared" si="208"/>
        <v/>
      </c>
      <c r="AT162" s="163" t="str">
        <f t="shared" si="201"/>
        <v/>
      </c>
      <c r="AU162" s="166" t="str">
        <f t="shared" si="202"/>
        <v/>
      </c>
      <c r="AV162" s="163" t="str">
        <f t="shared" si="203"/>
        <v/>
      </c>
      <c r="AW162" s="197" t="str">
        <f t="shared" si="209"/>
        <v/>
      </c>
      <c r="AX162" s="160" t="str">
        <f t="shared" si="210"/>
        <v/>
      </c>
      <c r="AY162" s="166" t="str">
        <f t="shared" si="204"/>
        <v/>
      </c>
      <c r="AZ162" s="163" t="str">
        <f t="shared" si="205"/>
        <v/>
      </c>
      <c r="BA162" s="163" t="str">
        <f t="shared" si="211"/>
        <v/>
      </c>
      <c r="BB162" s="160" t="str">
        <f t="shared" si="212"/>
        <v/>
      </c>
      <c r="BC162" s="166" t="str">
        <f t="shared" si="206"/>
        <v/>
      </c>
      <c r="BD162" s="163" t="str">
        <f t="shared" si="207"/>
        <v/>
      </c>
      <c r="BE162" s="163" t="str">
        <f t="shared" si="213"/>
        <v/>
      </c>
      <c r="BF162" s="160" t="str">
        <f t="shared" si="214"/>
        <v/>
      </c>
    </row>
    <row r="163" spans="7:58" ht="19.5" thickTop="1" thickBot="1" x14ac:dyDescent="0.3">
      <c r="O163" s="102"/>
      <c r="P163" s="102"/>
      <c r="Q163" s="102"/>
      <c r="R163" s="102"/>
      <c r="S163" s="102"/>
      <c r="T163" s="102"/>
      <c r="U163" s="102"/>
      <c r="V163" s="102"/>
      <c r="W163" s="102"/>
      <c r="AG163" s="31"/>
      <c r="AK163" s="158">
        <f t="shared" si="194"/>
        <v>42361</v>
      </c>
      <c r="AL163" s="159">
        <f t="shared" si="215"/>
        <v>4</v>
      </c>
      <c r="AM163" s="166" t="str">
        <f t="shared" si="195"/>
        <v/>
      </c>
      <c r="AN163" s="163" t="str">
        <f t="shared" si="196"/>
        <v/>
      </c>
      <c r="AO163" s="161" t="str">
        <f t="shared" si="197"/>
        <v/>
      </c>
      <c r="AP163" s="162" t="str">
        <f t="shared" si="198"/>
        <v/>
      </c>
      <c r="AQ163" s="166" t="str">
        <f t="shared" si="199"/>
        <v/>
      </c>
      <c r="AR163" s="163" t="str">
        <f t="shared" si="200"/>
        <v/>
      </c>
      <c r="AS163" s="197" t="str">
        <f t="shared" si="208"/>
        <v/>
      </c>
      <c r="AT163" s="163" t="str">
        <f t="shared" si="201"/>
        <v/>
      </c>
      <c r="AU163" s="166" t="str">
        <f t="shared" si="202"/>
        <v/>
      </c>
      <c r="AV163" s="163" t="str">
        <f t="shared" si="203"/>
        <v/>
      </c>
      <c r="AW163" s="197" t="str">
        <f t="shared" si="209"/>
        <v/>
      </c>
      <c r="AX163" s="160" t="str">
        <f t="shared" si="210"/>
        <v/>
      </c>
      <c r="AY163" s="166" t="str">
        <f t="shared" si="204"/>
        <v/>
      </c>
      <c r="AZ163" s="163" t="str">
        <f t="shared" si="205"/>
        <v/>
      </c>
      <c r="BA163" s="163" t="str">
        <f t="shared" si="211"/>
        <v/>
      </c>
      <c r="BB163" s="160" t="str">
        <f t="shared" si="212"/>
        <v/>
      </c>
      <c r="BC163" s="166" t="str">
        <f t="shared" si="206"/>
        <v/>
      </c>
      <c r="BD163" s="163" t="str">
        <f t="shared" si="207"/>
        <v/>
      </c>
      <c r="BE163" s="163" t="str">
        <f t="shared" si="213"/>
        <v/>
      </c>
      <c r="BF163" s="160" t="str">
        <f t="shared" si="214"/>
        <v/>
      </c>
    </row>
    <row r="164" spans="7:58" ht="19.5" thickTop="1" thickBot="1" x14ac:dyDescent="0.3">
      <c r="O164" s="102"/>
      <c r="P164" s="102"/>
      <c r="Q164" s="102"/>
      <c r="R164" s="102"/>
      <c r="S164" s="102"/>
      <c r="T164" s="102"/>
      <c r="U164" s="102"/>
      <c r="V164" s="102"/>
      <c r="W164" s="102"/>
      <c r="AG164" s="31"/>
      <c r="AK164" s="158" t="str">
        <f t="shared" si="194"/>
        <v/>
      </c>
      <c r="AL164" s="159">
        <f t="shared" si="215"/>
        <v>5</v>
      </c>
      <c r="AM164" s="166" t="str">
        <f t="shared" si="195"/>
        <v/>
      </c>
      <c r="AN164" s="163" t="str">
        <f t="shared" si="196"/>
        <v/>
      </c>
      <c r="AO164" s="161" t="str">
        <f t="shared" si="197"/>
        <v/>
      </c>
      <c r="AP164" s="162" t="str">
        <f t="shared" si="198"/>
        <v/>
      </c>
      <c r="AQ164" s="166" t="str">
        <f t="shared" si="199"/>
        <v/>
      </c>
      <c r="AR164" s="163" t="str">
        <f t="shared" si="200"/>
        <v/>
      </c>
      <c r="AS164" s="197" t="str">
        <f t="shared" si="208"/>
        <v/>
      </c>
      <c r="AT164" s="163" t="str">
        <f t="shared" si="201"/>
        <v/>
      </c>
      <c r="AU164" s="166" t="str">
        <f t="shared" si="202"/>
        <v/>
      </c>
      <c r="AV164" s="163" t="str">
        <f t="shared" si="203"/>
        <v/>
      </c>
      <c r="AW164" s="197" t="str">
        <f t="shared" si="209"/>
        <v/>
      </c>
      <c r="AX164" s="160" t="str">
        <f t="shared" si="210"/>
        <v/>
      </c>
      <c r="AY164" s="166" t="str">
        <f t="shared" si="204"/>
        <v/>
      </c>
      <c r="AZ164" s="163" t="str">
        <f t="shared" si="205"/>
        <v/>
      </c>
      <c r="BA164" s="163" t="str">
        <f t="shared" si="211"/>
        <v/>
      </c>
      <c r="BB164" s="160" t="str">
        <f t="shared" si="212"/>
        <v/>
      </c>
      <c r="BC164" s="166" t="str">
        <f t="shared" si="206"/>
        <v/>
      </c>
      <c r="BD164" s="163" t="str">
        <f t="shared" si="207"/>
        <v/>
      </c>
      <c r="BE164" s="163" t="str">
        <f t="shared" si="213"/>
        <v/>
      </c>
      <c r="BF164" s="160" t="str">
        <f t="shared" si="214"/>
        <v/>
      </c>
    </row>
    <row r="165" spans="7:58" ht="19.5" thickTop="1" thickBot="1" x14ac:dyDescent="0.3">
      <c r="G165" s="237"/>
      <c r="O165" s="102"/>
      <c r="P165" s="102"/>
      <c r="Q165" s="102"/>
      <c r="R165" s="102"/>
      <c r="S165" s="102"/>
      <c r="T165" s="102"/>
      <c r="U165" s="102"/>
      <c r="V165" s="102"/>
      <c r="W165" s="102"/>
      <c r="AG165" s="31"/>
      <c r="AK165" s="158" t="str">
        <f t="shared" si="194"/>
        <v/>
      </c>
      <c r="AL165" s="159">
        <f t="shared" si="215"/>
        <v>6</v>
      </c>
      <c r="AM165" s="166" t="str">
        <f t="shared" si="195"/>
        <v/>
      </c>
      <c r="AN165" s="163" t="str">
        <f t="shared" si="196"/>
        <v/>
      </c>
      <c r="AO165" s="161" t="str">
        <f t="shared" si="197"/>
        <v/>
      </c>
      <c r="AP165" s="162" t="str">
        <f t="shared" si="198"/>
        <v/>
      </c>
      <c r="AQ165" s="166" t="str">
        <f t="shared" si="199"/>
        <v/>
      </c>
      <c r="AR165" s="163" t="str">
        <f t="shared" si="200"/>
        <v/>
      </c>
      <c r="AS165" s="197" t="str">
        <f t="shared" si="208"/>
        <v/>
      </c>
      <c r="AT165" s="163" t="str">
        <f t="shared" si="201"/>
        <v/>
      </c>
      <c r="AU165" s="166" t="str">
        <f t="shared" si="202"/>
        <v/>
      </c>
      <c r="AV165" s="163" t="str">
        <f t="shared" si="203"/>
        <v/>
      </c>
      <c r="AW165" s="197" t="str">
        <f t="shared" si="209"/>
        <v/>
      </c>
      <c r="AX165" s="160" t="str">
        <f t="shared" si="210"/>
        <v/>
      </c>
      <c r="AY165" s="166" t="str">
        <f t="shared" si="204"/>
        <v/>
      </c>
      <c r="AZ165" s="163" t="str">
        <f t="shared" si="205"/>
        <v/>
      </c>
      <c r="BA165" s="163" t="str">
        <f t="shared" si="211"/>
        <v/>
      </c>
      <c r="BB165" s="160" t="str">
        <f t="shared" si="212"/>
        <v/>
      </c>
      <c r="BC165" s="166" t="str">
        <f t="shared" si="206"/>
        <v/>
      </c>
      <c r="BD165" s="163" t="str">
        <f t="shared" si="207"/>
        <v/>
      </c>
      <c r="BE165" s="163" t="str">
        <f t="shared" si="213"/>
        <v/>
      </c>
      <c r="BF165" s="160" t="str">
        <f t="shared" si="214"/>
        <v/>
      </c>
    </row>
    <row r="166" spans="7:58" ht="20.25" thickTop="1" thickBot="1" x14ac:dyDescent="0.35">
      <c r="O166" s="102"/>
      <c r="P166" s="233"/>
      <c r="Q166" s="233"/>
      <c r="R166" s="233"/>
      <c r="S166" s="233"/>
      <c r="T166" s="233"/>
      <c r="U166" s="233"/>
      <c r="V166" s="233"/>
      <c r="W166" s="102"/>
      <c r="AG166" s="31"/>
      <c r="AK166" s="158" t="str">
        <f t="shared" si="194"/>
        <v/>
      </c>
      <c r="AL166" s="159">
        <f t="shared" si="215"/>
        <v>7</v>
      </c>
      <c r="AM166" s="166" t="str">
        <f t="shared" si="195"/>
        <v/>
      </c>
      <c r="AN166" s="163" t="str">
        <f t="shared" si="196"/>
        <v/>
      </c>
      <c r="AO166" s="161" t="str">
        <f t="shared" si="197"/>
        <v/>
      </c>
      <c r="AP166" s="162" t="str">
        <f t="shared" si="198"/>
        <v/>
      </c>
      <c r="AQ166" s="166" t="str">
        <f t="shared" si="199"/>
        <v/>
      </c>
      <c r="AR166" s="163" t="str">
        <f t="shared" si="200"/>
        <v/>
      </c>
      <c r="AS166" s="197" t="str">
        <f t="shared" si="208"/>
        <v/>
      </c>
      <c r="AT166" s="163" t="str">
        <f t="shared" si="201"/>
        <v/>
      </c>
      <c r="AU166" s="166" t="str">
        <f t="shared" si="202"/>
        <v/>
      </c>
      <c r="AV166" s="163" t="str">
        <f t="shared" si="203"/>
        <v/>
      </c>
      <c r="AW166" s="197" t="str">
        <f t="shared" si="209"/>
        <v/>
      </c>
      <c r="AX166" s="160" t="str">
        <f t="shared" si="210"/>
        <v/>
      </c>
      <c r="AY166" s="166" t="str">
        <f t="shared" si="204"/>
        <v/>
      </c>
      <c r="AZ166" s="163" t="str">
        <f t="shared" si="205"/>
        <v/>
      </c>
      <c r="BA166" s="163" t="str">
        <f t="shared" si="211"/>
        <v/>
      </c>
      <c r="BB166" s="160" t="str">
        <f t="shared" si="212"/>
        <v/>
      </c>
      <c r="BC166" s="166" t="str">
        <f t="shared" si="206"/>
        <v/>
      </c>
      <c r="BD166" s="163" t="str">
        <f t="shared" si="207"/>
        <v/>
      </c>
      <c r="BE166" s="163" t="str">
        <f t="shared" si="213"/>
        <v/>
      </c>
      <c r="BF166" s="160" t="str">
        <f t="shared" si="214"/>
        <v/>
      </c>
    </row>
    <row r="167" spans="7:58" ht="19.5" thickTop="1" thickBot="1" x14ac:dyDescent="0.3">
      <c r="O167" s="102"/>
      <c r="P167" s="43"/>
      <c r="Q167" s="43"/>
      <c r="R167" s="43"/>
      <c r="S167" s="43"/>
      <c r="T167" s="43"/>
      <c r="U167" s="43"/>
      <c r="V167" s="43"/>
      <c r="W167" s="102"/>
      <c r="AG167" s="31"/>
      <c r="AK167" s="158" t="str">
        <f>+IF(E56="","",E56)</f>
        <v/>
      </c>
      <c r="AL167" s="159">
        <f t="shared" si="215"/>
        <v>8</v>
      </c>
      <c r="AM167" s="166" t="str">
        <f>+IF($L56="","",IF($L56=3,3,""))</f>
        <v/>
      </c>
      <c r="AN167" s="163" t="str">
        <f>+IF(AND(AM167=3,P56=4),4,"")</f>
        <v/>
      </c>
      <c r="AO167" s="161" t="str">
        <f>+IF(AK167="","",IF(AND(AM167=3,AN167=4),+(Q56/VLOOKUP($AK111,$T$69:$U$73,2)),""))</f>
        <v/>
      </c>
      <c r="AP167" s="162" t="str">
        <f>+IF(AND(AM167=3,P56=4),+S56,"")</f>
        <v/>
      </c>
      <c r="AQ167" s="166" t="str">
        <f>+IF($L56="","",IF($L56=3,3,""))</f>
        <v/>
      </c>
      <c r="AR167" s="163" t="str">
        <f>+IF(AND(AQ167=3,P56=6),6,"")</f>
        <v/>
      </c>
      <c r="AS167" s="197" t="str">
        <f t="shared" si="208"/>
        <v/>
      </c>
      <c r="AT167" s="163" t="str">
        <f>+IF(AND(AQ167=3,P56=6),+S56,"")</f>
        <v/>
      </c>
      <c r="AU167" s="166" t="str">
        <f>+IF($L56="","",IF($L56=3,3,""))</f>
        <v/>
      </c>
      <c r="AV167" s="163" t="str">
        <f>+IF(AND(AU167=3,P56=8),8,"")</f>
        <v/>
      </c>
      <c r="AW167" s="197" t="str">
        <f t="shared" si="209"/>
        <v/>
      </c>
      <c r="AX167" s="160" t="str">
        <f t="shared" si="210"/>
        <v/>
      </c>
      <c r="AY167" s="166" t="str">
        <f>+IF($L56="","",IF($L56=3,3,""))</f>
        <v/>
      </c>
      <c r="AZ167" s="163" t="str">
        <f>+IF(AND(AY167=3,P56=10),10,"")</f>
        <v/>
      </c>
      <c r="BA167" s="163" t="str">
        <f t="shared" si="211"/>
        <v/>
      </c>
      <c r="BB167" s="160" t="str">
        <f t="shared" si="212"/>
        <v/>
      </c>
      <c r="BC167" s="166" t="str">
        <f>+IF($L56="","",IF($L56=3,3,""))</f>
        <v/>
      </c>
      <c r="BD167" s="163" t="str">
        <f>+IF(AND(BC167=3,P56=12),12,"")</f>
        <v/>
      </c>
      <c r="BE167" s="163" t="str">
        <f t="shared" si="213"/>
        <v/>
      </c>
      <c r="BF167" s="160" t="str">
        <f t="shared" si="214"/>
        <v/>
      </c>
    </row>
    <row r="168" spans="7:58" ht="18.75" thickTop="1" x14ac:dyDescent="0.25">
      <c r="O168" s="102"/>
      <c r="P168" s="43"/>
      <c r="Q168" s="43"/>
      <c r="R168" s="43"/>
      <c r="S168" s="43"/>
      <c r="T168" s="43"/>
      <c r="U168" s="43"/>
      <c r="V168" s="43"/>
      <c r="W168" s="102"/>
      <c r="AG168" s="31"/>
      <c r="AK168" s="158" t="str">
        <f>+IF(E57="","",E57)</f>
        <v/>
      </c>
      <c r="AL168" s="159">
        <f t="shared" si="215"/>
        <v>9</v>
      </c>
      <c r="AM168" s="166" t="str">
        <f>+IF($L57="","",IF($L57=3,3,""))</f>
        <v/>
      </c>
      <c r="AN168" s="163" t="str">
        <f>+IF(AND(AM168=3,P57=4),4,"")</f>
        <v/>
      </c>
      <c r="AO168" s="161" t="str">
        <f>+IF(AK168="","",IF(AND(AM168=3,AN168=4),+(Q57/VLOOKUP($AK112,$T$69:$U$73,2)),""))</f>
        <v/>
      </c>
      <c r="AP168" s="162" t="str">
        <f>+IF(AND(AM168=3,P57=4),+S57,"")</f>
        <v/>
      </c>
      <c r="AQ168" s="166" t="str">
        <f>+IF($L57="","",IF($L57=3,3,""))</f>
        <v/>
      </c>
      <c r="AR168" s="163" t="str">
        <f>+IF(AND(AQ168=3,P57=6),6,"")</f>
        <v/>
      </c>
      <c r="AS168" s="197" t="str">
        <f t="shared" si="208"/>
        <v/>
      </c>
      <c r="AT168" s="163" t="str">
        <f>+IF(AND(AQ168=3,P57=6),+S57,"")</f>
        <v/>
      </c>
      <c r="AU168" s="166" t="str">
        <f>+IF($L57="","",IF($L57=3,3,""))</f>
        <v/>
      </c>
      <c r="AV168" s="163" t="str">
        <f>+IF(AND(AU168=3,P57=8),8,"")</f>
        <v/>
      </c>
      <c r="AW168" s="197" t="str">
        <f t="shared" si="209"/>
        <v/>
      </c>
      <c r="AX168" s="160" t="str">
        <f t="shared" si="210"/>
        <v/>
      </c>
      <c r="AY168" s="166" t="str">
        <f>+IF($L57="","",IF($L57=3,3,""))</f>
        <v/>
      </c>
      <c r="AZ168" s="163" t="str">
        <f>+IF(AND(AY168=3,P57=10),10,"")</f>
        <v/>
      </c>
      <c r="BA168" s="163" t="str">
        <f t="shared" si="211"/>
        <v/>
      </c>
      <c r="BB168" s="160" t="str">
        <f t="shared" si="212"/>
        <v/>
      </c>
      <c r="BC168" s="166" t="str">
        <f>+IF($L57="","",IF($L57=3,3,""))</f>
        <v/>
      </c>
      <c r="BD168" s="163" t="str">
        <f>+IF(AND(BC168=3,P57=12),12,"")</f>
        <v/>
      </c>
      <c r="BE168" s="163" t="str">
        <f t="shared" si="213"/>
        <v/>
      </c>
      <c r="BF168" s="160" t="str">
        <f t="shared" si="214"/>
        <v/>
      </c>
    </row>
    <row r="169" spans="7:58" ht="18.75" thickBot="1" x14ac:dyDescent="0.3">
      <c r="O169" s="102"/>
      <c r="P169" s="43"/>
      <c r="Q169" s="43"/>
      <c r="R169" s="43"/>
      <c r="S169" s="43"/>
      <c r="T169" s="43"/>
      <c r="U169" s="43"/>
      <c r="V169" s="43"/>
      <c r="W169" s="102"/>
      <c r="AG169" s="31"/>
      <c r="AL169" s="102"/>
      <c r="AM169" s="102"/>
      <c r="AN169" s="102"/>
      <c r="AO169" s="176" t="str">
        <f>+IF(COUNT(AO160:AO168)&lt;3,"N/A",IF(SUM(AO160:AO168)="","",RSQ(AO160:AO168,AP160:AP168)))</f>
        <v>N/A</v>
      </c>
      <c r="AP169" s="206"/>
      <c r="AQ169" s="206"/>
      <c r="AR169" s="207"/>
      <c r="AS169" s="176" t="str">
        <f>+IF(COUNT(AS160:AS168)&lt;3,"N/A",IF(SUM(AS160:AS168)="","",RSQ(AS160:AS168,AT160:AT168)))</f>
        <v>N/A</v>
      </c>
      <c r="AT169" s="207"/>
      <c r="AU169" s="207"/>
      <c r="AV169" s="207"/>
      <c r="AW169" s="176" t="str">
        <f>+IF(COUNT(AW160:AW168)&lt;3,"N/A",IF(SUM(AW160:AW168)="","",RSQ(AW160:AW168,AX160:AX168)))</f>
        <v>N/A</v>
      </c>
      <c r="AX169" s="207"/>
      <c r="AY169" s="207"/>
      <c r="AZ169" s="207"/>
      <c r="BA169" s="176" t="str">
        <f>+IF(COUNT(BA160:BA168)&lt;3,"N/A",IF(SUM(BA160:BA168)="","",RSQ(BA160:BA168,BB160:BB168)))</f>
        <v>N/A</v>
      </c>
      <c r="BB169" s="207"/>
      <c r="BC169" s="207"/>
      <c r="BD169" s="207"/>
      <c r="BE169" s="176" t="str">
        <f>+IF(COUNT(BE160:BE168)&lt;3,"N/A",IF(SUM(BE160:BE168)="","",RSQ(BE160:BE168,BF160:BF168)))</f>
        <v>N/A</v>
      </c>
    </row>
    <row r="170" spans="7:58" ht="18.75" thickTop="1" x14ac:dyDescent="0.25">
      <c r="O170" s="102"/>
      <c r="P170" s="43"/>
      <c r="Q170" s="43"/>
      <c r="R170" s="43"/>
      <c r="S170" s="43"/>
      <c r="T170" s="43"/>
      <c r="U170" s="43"/>
      <c r="V170" s="43"/>
      <c r="W170" s="102"/>
      <c r="AG170" s="31"/>
      <c r="AL170" s="102"/>
      <c r="AM170" s="102"/>
      <c r="AN170" s="102"/>
      <c r="AO170" s="208" t="s">
        <v>99</v>
      </c>
      <c r="AP170" s="208"/>
      <c r="AQ170" s="208"/>
      <c r="AS170" s="208" t="s">
        <v>100</v>
      </c>
      <c r="AW170" s="18" t="s">
        <v>101</v>
      </c>
      <c r="BA170" s="18" t="s">
        <v>102</v>
      </c>
      <c r="BE170" s="18" t="s">
        <v>103</v>
      </c>
    </row>
    <row r="171" spans="7:58" x14ac:dyDescent="0.25">
      <c r="O171" s="102"/>
      <c r="P171" s="102"/>
      <c r="Q171" s="102"/>
      <c r="R171" s="102"/>
      <c r="S171" s="102"/>
      <c r="T171" s="102"/>
      <c r="U171" s="102"/>
      <c r="V171" s="102"/>
      <c r="W171" s="102"/>
      <c r="AG171" s="31"/>
    </row>
    <row r="172" spans="7:58" x14ac:dyDescent="0.25">
      <c r="O172" s="102"/>
      <c r="P172" s="102"/>
      <c r="Q172" s="102"/>
      <c r="R172" s="102"/>
      <c r="S172" s="102"/>
      <c r="T172" s="102"/>
      <c r="U172" s="102"/>
      <c r="V172" s="102"/>
      <c r="W172" s="102"/>
      <c r="AG172" s="31"/>
    </row>
    <row r="173" spans="7:58" x14ac:dyDescent="0.25">
      <c r="O173" s="102"/>
      <c r="P173" s="102"/>
      <c r="Q173" s="102"/>
      <c r="R173" s="102"/>
      <c r="S173" s="102"/>
      <c r="T173" s="102"/>
      <c r="U173" s="102"/>
      <c r="V173" s="102"/>
      <c r="W173" s="102"/>
      <c r="AG173" s="31"/>
    </row>
    <row r="174" spans="7:58" x14ac:dyDescent="0.25">
      <c r="O174" s="102"/>
      <c r="P174" s="102"/>
      <c r="Q174" s="102"/>
      <c r="R174" s="102"/>
      <c r="S174" s="102"/>
      <c r="T174" s="102"/>
      <c r="U174" s="102"/>
      <c r="V174" s="102"/>
      <c r="W174" s="102"/>
      <c r="AG174" s="31"/>
    </row>
    <row r="175" spans="7:58" ht="18.75" x14ac:dyDescent="0.3">
      <c r="O175" s="102"/>
      <c r="P175" s="233"/>
      <c r="Q175" s="233"/>
      <c r="R175" s="233"/>
      <c r="S175" s="233"/>
      <c r="T175" s="233"/>
      <c r="U175" s="102"/>
      <c r="V175" s="102"/>
      <c r="W175" s="102"/>
      <c r="AG175" s="31"/>
    </row>
    <row r="176" spans="7:58" x14ac:dyDescent="0.25">
      <c r="O176" s="102"/>
      <c r="P176" s="43"/>
      <c r="Q176" s="43"/>
      <c r="R176" s="43"/>
      <c r="S176" s="43"/>
      <c r="T176" s="43"/>
      <c r="U176" s="102"/>
      <c r="V176" s="102"/>
      <c r="W176" s="102"/>
      <c r="AG176" s="31"/>
    </row>
    <row r="177" spans="6:33" x14ac:dyDescent="0.25">
      <c r="O177" s="102"/>
      <c r="P177" s="43"/>
      <c r="Q177" s="43"/>
      <c r="R177" s="43"/>
      <c r="S177" s="43"/>
      <c r="T177" s="43"/>
      <c r="U177" s="102"/>
      <c r="V177" s="102"/>
      <c r="W177" s="102"/>
      <c r="AG177" s="31"/>
    </row>
    <row r="178" spans="6:33" x14ac:dyDescent="0.25">
      <c r="O178" s="102"/>
      <c r="P178" s="102"/>
      <c r="Q178" s="102"/>
      <c r="R178" s="102"/>
      <c r="S178" s="102"/>
      <c r="T178" s="102"/>
      <c r="U178" s="102"/>
      <c r="V178" s="102"/>
      <c r="W178" s="102"/>
      <c r="AG178" s="31"/>
    </row>
    <row r="179" spans="6:33" x14ac:dyDescent="0.25">
      <c r="O179" s="102"/>
      <c r="P179" s="102"/>
      <c r="Q179" s="102"/>
      <c r="R179" s="102"/>
      <c r="S179" s="102"/>
      <c r="T179" s="102"/>
      <c r="U179" s="102"/>
      <c r="V179" s="102"/>
      <c r="W179" s="102"/>
      <c r="AG179" s="31"/>
    </row>
    <row r="180" spans="6:33" x14ac:dyDescent="0.25">
      <c r="O180" s="102"/>
      <c r="P180" s="102"/>
      <c r="Q180" s="102"/>
      <c r="R180" s="102"/>
      <c r="S180" s="102"/>
      <c r="T180" s="102"/>
      <c r="U180" s="102"/>
      <c r="V180" s="102"/>
      <c r="W180" s="102"/>
      <c r="AG180" s="31"/>
    </row>
    <row r="181" spans="6:33" ht="18.75" x14ac:dyDescent="0.3">
      <c r="O181" s="102"/>
      <c r="P181" s="233"/>
      <c r="Q181" s="233"/>
      <c r="R181" s="233"/>
      <c r="S181" s="233"/>
      <c r="T181" s="233"/>
      <c r="U181" s="233"/>
      <c r="V181" s="233"/>
      <c r="W181" s="102"/>
      <c r="AG181" s="31"/>
    </row>
    <row r="182" spans="6:33" x14ac:dyDescent="0.25">
      <c r="O182" s="102"/>
      <c r="P182" s="43"/>
      <c r="Q182" s="43"/>
      <c r="R182" s="43"/>
      <c r="S182" s="43"/>
      <c r="T182" s="43"/>
      <c r="U182" s="43"/>
      <c r="V182" s="43"/>
      <c r="W182" s="102"/>
      <c r="AG182" s="31"/>
    </row>
    <row r="183" spans="6:33" x14ac:dyDescent="0.25">
      <c r="O183" s="102"/>
      <c r="P183" s="43"/>
      <c r="Q183" s="43"/>
      <c r="R183" s="43"/>
      <c r="S183" s="43"/>
      <c r="T183" s="43"/>
      <c r="U183" s="43"/>
      <c r="V183" s="43"/>
      <c r="W183" s="102"/>
      <c r="AG183" s="31"/>
    </row>
    <row r="184" spans="6:33" x14ac:dyDescent="0.25">
      <c r="O184" s="102"/>
      <c r="P184" s="43"/>
      <c r="Q184" s="43"/>
      <c r="R184" s="43"/>
      <c r="S184" s="43"/>
      <c r="T184" s="43"/>
      <c r="U184" s="43"/>
      <c r="V184" s="43"/>
      <c r="W184" s="102"/>
      <c r="AG184" s="31"/>
    </row>
    <row r="185" spans="6:33" x14ac:dyDescent="0.25">
      <c r="O185" s="102"/>
      <c r="P185" s="43"/>
      <c r="Q185" s="43"/>
      <c r="R185" s="43"/>
      <c r="S185" s="43"/>
      <c r="T185" s="43"/>
      <c r="U185" s="43"/>
      <c r="V185" s="43"/>
      <c r="W185" s="102"/>
      <c r="AG185" s="31"/>
    </row>
    <row r="186" spans="6:33" x14ac:dyDescent="0.25">
      <c r="O186" s="102"/>
      <c r="P186" s="102"/>
      <c r="Q186" s="102"/>
      <c r="R186" s="102"/>
      <c r="S186" s="102"/>
      <c r="T186" s="102"/>
      <c r="U186" s="102"/>
      <c r="V186" s="102"/>
      <c r="W186" s="102"/>
      <c r="AG186" s="31"/>
    </row>
    <row r="187" spans="6:33" x14ac:dyDescent="0.25">
      <c r="O187" s="102"/>
      <c r="P187" s="102"/>
      <c r="Q187" s="102"/>
      <c r="R187" s="102"/>
      <c r="S187" s="102"/>
      <c r="T187" s="102"/>
      <c r="U187" s="102"/>
      <c r="V187" s="102"/>
      <c r="W187" s="102"/>
      <c r="AG187" s="31"/>
    </row>
    <row r="188" spans="6:33" x14ac:dyDescent="0.25">
      <c r="O188" s="102"/>
      <c r="P188" s="102"/>
      <c r="Q188" s="102"/>
      <c r="R188" s="102"/>
      <c r="S188" s="102"/>
      <c r="T188" s="102"/>
      <c r="U188" s="102"/>
      <c r="V188" s="102"/>
      <c r="W188" s="102"/>
      <c r="AG188" s="31"/>
    </row>
    <row r="189" spans="6:33" x14ac:dyDescent="0.25">
      <c r="F189" s="18" t="s">
        <v>18</v>
      </c>
      <c r="O189" s="102"/>
      <c r="P189" s="102"/>
      <c r="Q189" s="102"/>
      <c r="R189" s="102"/>
      <c r="S189" s="102"/>
      <c r="T189" s="102"/>
      <c r="U189" s="102"/>
      <c r="V189" s="102"/>
      <c r="W189" s="102"/>
      <c r="AG189" s="31"/>
    </row>
    <row r="190" spans="6:33" x14ac:dyDescent="0.25">
      <c r="F190" s="18" t="s">
        <v>19</v>
      </c>
      <c r="O190" s="102"/>
      <c r="P190" s="102"/>
      <c r="Q190" s="102"/>
      <c r="R190" s="102"/>
      <c r="S190" s="102"/>
      <c r="T190" s="102"/>
      <c r="U190" s="102"/>
      <c r="V190" s="102"/>
      <c r="W190" s="102"/>
      <c r="AG190" s="31"/>
    </row>
    <row r="191" spans="6:33" x14ac:dyDescent="0.25">
      <c r="O191" s="102"/>
      <c r="P191" s="102"/>
      <c r="Q191" s="102"/>
      <c r="R191" s="102"/>
      <c r="S191" s="102"/>
      <c r="T191" s="102"/>
      <c r="U191" s="102"/>
      <c r="V191" s="102"/>
      <c r="W191" s="102"/>
      <c r="AG191" s="31"/>
    </row>
    <row r="192" spans="6:33" x14ac:dyDescent="0.25">
      <c r="O192" s="102"/>
      <c r="P192" s="102"/>
      <c r="Q192" s="102"/>
      <c r="R192" s="102"/>
      <c r="S192" s="102"/>
      <c r="T192" s="102"/>
      <c r="U192" s="102"/>
      <c r="V192" s="102"/>
      <c r="W192" s="102"/>
      <c r="AG192" s="31"/>
    </row>
    <row r="193" spans="15:33" x14ac:dyDescent="0.25">
      <c r="O193" s="102"/>
      <c r="P193" s="102"/>
      <c r="Q193" s="102"/>
      <c r="R193" s="102"/>
      <c r="S193" s="102"/>
      <c r="T193" s="102"/>
      <c r="U193" s="102"/>
      <c r="V193" s="102"/>
      <c r="W193" s="102"/>
      <c r="AG193" s="31"/>
    </row>
    <row r="194" spans="15:33" x14ac:dyDescent="0.25">
      <c r="O194" s="24"/>
      <c r="P194" s="24"/>
      <c r="Q194" s="24"/>
      <c r="R194" s="24"/>
      <c r="S194" s="24"/>
      <c r="T194" s="250"/>
      <c r="U194" s="24"/>
      <c r="V194" s="24"/>
      <c r="W194" s="102"/>
      <c r="AG194" s="31"/>
    </row>
    <row r="195" spans="15:33" x14ac:dyDescent="0.25">
      <c r="O195" s="24"/>
      <c r="P195" s="24"/>
      <c r="Q195" s="24"/>
      <c r="R195" s="24"/>
      <c r="S195" s="24"/>
      <c r="T195" s="250"/>
      <c r="U195" s="24"/>
      <c r="V195" s="24"/>
      <c r="W195" s="24"/>
      <c r="AG195" s="31"/>
    </row>
    <row r="196" spans="15:33" x14ac:dyDescent="0.25">
      <c r="O196" s="24"/>
      <c r="P196" s="24"/>
      <c r="Q196" s="24"/>
      <c r="R196" s="24"/>
      <c r="S196" s="24"/>
      <c r="T196" s="250"/>
      <c r="U196" s="24"/>
      <c r="V196" s="24"/>
      <c r="W196" s="24"/>
      <c r="AG196" s="31"/>
    </row>
    <row r="197" spans="15:33" x14ac:dyDescent="0.25">
      <c r="O197" s="24"/>
      <c r="P197" s="24"/>
      <c r="Q197" s="24"/>
      <c r="R197" s="24"/>
      <c r="S197" s="24"/>
      <c r="T197" s="250"/>
      <c r="U197" s="24"/>
      <c r="V197" s="24"/>
      <c r="W197" s="24"/>
      <c r="AG197" s="31"/>
    </row>
    <row r="198" spans="15:33" x14ac:dyDescent="0.25">
      <c r="O198" s="24"/>
      <c r="P198" s="24"/>
      <c r="Q198" s="24"/>
      <c r="R198" s="24"/>
      <c r="S198" s="24"/>
      <c r="T198" s="250"/>
      <c r="U198" s="24"/>
      <c r="V198" s="24"/>
      <c r="W198" s="24"/>
    </row>
    <row r="199" spans="15:33" x14ac:dyDescent="0.25">
      <c r="O199" s="24"/>
      <c r="P199" s="24"/>
      <c r="Q199" s="24"/>
      <c r="R199" s="24"/>
      <c r="S199" s="24"/>
      <c r="T199" s="250"/>
      <c r="U199" s="24"/>
      <c r="V199" s="24"/>
      <c r="W199" s="24"/>
    </row>
    <row r="200" spans="15:33" x14ac:dyDescent="0.25">
      <c r="O200" s="24"/>
      <c r="P200" s="24"/>
      <c r="Q200" s="24"/>
      <c r="R200" s="24"/>
      <c r="S200" s="24"/>
      <c r="T200" s="250"/>
      <c r="U200" s="24"/>
      <c r="V200" s="24"/>
      <c r="W200" s="24"/>
    </row>
    <row r="201" spans="15:33" x14ac:dyDescent="0.25">
      <c r="O201" s="24"/>
      <c r="P201" s="24"/>
      <c r="Q201" s="24"/>
      <c r="R201" s="24"/>
      <c r="S201" s="24"/>
      <c r="T201" s="250"/>
      <c r="U201" s="24"/>
      <c r="V201" s="24"/>
      <c r="W201" s="24"/>
    </row>
    <row r="202" spans="15:33" x14ac:dyDescent="0.25">
      <c r="O202" s="24"/>
      <c r="P202" s="24"/>
      <c r="Q202" s="24"/>
      <c r="R202" s="24"/>
      <c r="S202" s="24"/>
      <c r="T202" s="250"/>
      <c r="U202" s="24"/>
      <c r="V202" s="24"/>
      <c r="W202" s="24"/>
    </row>
    <row r="203" spans="15:33" x14ac:dyDescent="0.25">
      <c r="O203" s="24"/>
      <c r="P203" s="24"/>
      <c r="Q203" s="24"/>
      <c r="R203" s="24"/>
      <c r="S203" s="24"/>
      <c r="T203" s="250"/>
      <c r="U203" s="24"/>
      <c r="V203" s="24"/>
      <c r="W203" s="24"/>
    </row>
    <row r="204" spans="15:33" x14ac:dyDescent="0.25">
      <c r="O204" s="24"/>
      <c r="P204" s="24"/>
      <c r="Q204" s="24"/>
      <c r="R204" s="24"/>
      <c r="S204" s="24"/>
      <c r="T204" s="250"/>
      <c r="U204" s="24"/>
      <c r="V204" s="24"/>
      <c r="W204" s="24"/>
    </row>
    <row r="205" spans="15:33" x14ac:dyDescent="0.25">
      <c r="O205" s="24"/>
      <c r="P205" s="24"/>
      <c r="Q205" s="24"/>
      <c r="R205" s="24"/>
      <c r="S205" s="24"/>
      <c r="T205" s="250"/>
      <c r="U205" s="24"/>
      <c r="V205" s="24"/>
      <c r="W205" s="24"/>
    </row>
    <row r="206" spans="15:33" x14ac:dyDescent="0.25">
      <c r="O206" s="24"/>
      <c r="P206" s="24"/>
      <c r="Q206" s="24"/>
      <c r="R206" s="24"/>
      <c r="S206" s="24"/>
      <c r="T206" s="250"/>
      <c r="U206" s="24"/>
      <c r="V206" s="24"/>
      <c r="W206" s="24"/>
    </row>
    <row r="207" spans="15:33" x14ac:dyDescent="0.25">
      <c r="O207" s="24"/>
      <c r="P207" s="24"/>
      <c r="Q207" s="24"/>
      <c r="R207" s="24"/>
      <c r="S207" s="24"/>
      <c r="T207" s="250"/>
      <c r="U207" s="24"/>
      <c r="V207" s="24"/>
      <c r="W207" s="24"/>
    </row>
    <row r="208" spans="15:33" x14ac:dyDescent="0.25">
      <c r="O208" s="24"/>
      <c r="P208" s="24"/>
      <c r="Q208" s="24"/>
      <c r="R208" s="24"/>
      <c r="S208" s="24"/>
      <c r="T208" s="250"/>
      <c r="U208" s="24"/>
      <c r="V208" s="24"/>
      <c r="W208" s="24"/>
    </row>
  </sheetData>
  <sheetProtection algorithmName="SHA-512" hashValue="HbcOq3cz/5Gnw8ARQWbdMNCsOX9k+sSEypMLyYP2yFvQ4oJPK0yXaV8Lmo5rFCVijc/yxjmUiPjQCpn9SSW6Cw==" saltValue="ob0VGyvVGda+h0Lkb+34MA==" spinCount="100000" sheet="1" objects="1" scenarios="1" selectLockedCells="1"/>
  <customSheetViews>
    <customSheetView guid="{373B6099-BBFB-4C6F-8508-763C02BEB895}" scale="60" fitToPage="1">
      <selection activeCell="B1" sqref="B1:X1"/>
      <rowBreaks count="1" manualBreakCount="1">
        <brk id="46" min="2" max="22" man="1"/>
      </rowBreaks>
      <pageMargins left="0.7" right="0.7" top="0.75" bottom="0.75" header="0.3" footer="0.3"/>
      <pageSetup scale="48" fitToHeight="0" orientation="landscape"/>
      <headerFooter alignWithMargins="0"/>
    </customSheetView>
  </customSheetViews>
  <mergeCells count="155">
    <mergeCell ref="D75:I75"/>
    <mergeCell ref="D77:D78"/>
    <mergeCell ref="E77:E78"/>
    <mergeCell ref="J84:O84"/>
    <mergeCell ref="J75:O75"/>
    <mergeCell ref="V5:Y5"/>
    <mergeCell ref="F8:J8"/>
    <mergeCell ref="F9:J9"/>
    <mergeCell ref="F10:J10"/>
    <mergeCell ref="V6:Y6"/>
    <mergeCell ref="F11:J11"/>
    <mergeCell ref="G56:K56"/>
    <mergeCell ref="G43:K43"/>
    <mergeCell ref="G53:K53"/>
    <mergeCell ref="G32:K32"/>
    <mergeCell ref="G33:K33"/>
    <mergeCell ref="G34:K34"/>
    <mergeCell ref="G36:K36"/>
    <mergeCell ref="G52:K52"/>
    <mergeCell ref="G45:K45"/>
    <mergeCell ref="K11:Q11"/>
    <mergeCell ref="G31:K31"/>
    <mergeCell ref="G44:K44"/>
    <mergeCell ref="G41:K41"/>
    <mergeCell ref="BD157:BF157"/>
    <mergeCell ref="AU13:AU14"/>
    <mergeCell ref="BD49:BF49"/>
    <mergeCell ref="BD102:BF102"/>
    <mergeCell ref="AZ102:BB102"/>
    <mergeCell ref="AV102:AX102"/>
    <mergeCell ref="AR102:AT102"/>
    <mergeCell ref="AY48:AY50"/>
    <mergeCell ref="BC48:BC50"/>
    <mergeCell ref="AR14:AT14"/>
    <mergeCell ref="AV14:AX14"/>
    <mergeCell ref="AZ14:BB14"/>
    <mergeCell ref="AR49:AT49"/>
    <mergeCell ref="AV49:AX49"/>
    <mergeCell ref="AZ49:BB49"/>
    <mergeCell ref="AV157:AX157"/>
    <mergeCell ref="AZ157:BB157"/>
    <mergeCell ref="AS66:AW66"/>
    <mergeCell ref="AS156:AW156"/>
    <mergeCell ref="BD14:BF14"/>
    <mergeCell ref="D99:I99"/>
    <mergeCell ref="D85:I85"/>
    <mergeCell ref="AZ122:BB122"/>
    <mergeCell ref="BD122:BF122"/>
    <mergeCell ref="AS119:AW119"/>
    <mergeCell ref="BD67:BF67"/>
    <mergeCell ref="AR67:AT67"/>
    <mergeCell ref="AZ67:BB67"/>
    <mergeCell ref="AV67:AX67"/>
    <mergeCell ref="X77:X78"/>
    <mergeCell ref="W77:W78"/>
    <mergeCell ref="M77:M78"/>
    <mergeCell ref="S77:S78"/>
    <mergeCell ref="AN67:AP67"/>
    <mergeCell ref="J77:J78"/>
    <mergeCell ref="K77:K78"/>
    <mergeCell ref="L77:L78"/>
    <mergeCell ref="O77:O78"/>
    <mergeCell ref="N77:N78"/>
    <mergeCell ref="F77:F78"/>
    <mergeCell ref="G77:G78"/>
    <mergeCell ref="H77:H78"/>
    <mergeCell ref="I77:I78"/>
    <mergeCell ref="D76:I76"/>
    <mergeCell ref="F60:I60"/>
    <mergeCell ref="F63:I63"/>
    <mergeCell ref="F66:I66"/>
    <mergeCell ref="D84:I84"/>
    <mergeCell ref="J85:O85"/>
    <mergeCell ref="J76:O76"/>
    <mergeCell ref="AS11:AW11"/>
    <mergeCell ref="I12:J12"/>
    <mergeCell ref="AQ48:AQ50"/>
    <mergeCell ref="G35:K35"/>
    <mergeCell ref="G42:K42"/>
    <mergeCell ref="G38:K38"/>
    <mergeCell ref="G39:K39"/>
    <mergeCell ref="G40:K40"/>
    <mergeCell ref="G37:K37"/>
    <mergeCell ref="AN14:AP14"/>
    <mergeCell ref="AN49:AP49"/>
    <mergeCell ref="G18:K18"/>
    <mergeCell ref="G19:K19"/>
    <mergeCell ref="G20:K20"/>
    <mergeCell ref="G24:K24"/>
    <mergeCell ref="G25:K25"/>
    <mergeCell ref="G28:K28"/>
    <mergeCell ref="G27:K27"/>
    <mergeCell ref="G22:K22"/>
    <mergeCell ref="G23:K23"/>
    <mergeCell ref="K14:Q14"/>
    <mergeCell ref="G29:K29"/>
    <mergeCell ref="AM48:AM50"/>
    <mergeCell ref="R11:S11"/>
    <mergeCell ref="R7:S7"/>
    <mergeCell ref="L10:M10"/>
    <mergeCell ref="N10:Q10"/>
    <mergeCell ref="G15:K15"/>
    <mergeCell ref="G26:K26"/>
    <mergeCell ref="C12:G12"/>
    <mergeCell ref="G47:K47"/>
    <mergeCell ref="K12:Q12"/>
    <mergeCell ref="K13:Q13"/>
    <mergeCell ref="G57:K57"/>
    <mergeCell ref="G30:K30"/>
    <mergeCell ref="S75:X75"/>
    <mergeCell ref="S76:X76"/>
    <mergeCell ref="G16:K16"/>
    <mergeCell ref="G17:K17"/>
    <mergeCell ref="G21:K21"/>
    <mergeCell ref="D71:N73"/>
    <mergeCell ref="O58:R58"/>
    <mergeCell ref="T66:V66"/>
    <mergeCell ref="W66:Y66"/>
    <mergeCell ref="C46:Y46"/>
    <mergeCell ref="Q59:R59"/>
    <mergeCell ref="O60:P60"/>
    <mergeCell ref="Q60:R60"/>
    <mergeCell ref="O61:P61"/>
    <mergeCell ref="Q61:R61"/>
    <mergeCell ref="G51:K51"/>
    <mergeCell ref="G54:K54"/>
    <mergeCell ref="G55:K55"/>
    <mergeCell ref="O59:P59"/>
    <mergeCell ref="G48:K48"/>
    <mergeCell ref="G49:K49"/>
    <mergeCell ref="G50:K50"/>
    <mergeCell ref="M5:N5"/>
    <mergeCell ref="F3:J7"/>
    <mergeCell ref="AI5:AM8"/>
    <mergeCell ref="F91:Y91"/>
    <mergeCell ref="D91:E91"/>
    <mergeCell ref="AN157:AP157"/>
    <mergeCell ref="AR157:AT157"/>
    <mergeCell ref="AN102:AP102"/>
    <mergeCell ref="U67:U68"/>
    <mergeCell ref="V67:V68"/>
    <mergeCell ref="X67:X68"/>
    <mergeCell ref="Y67:Y68"/>
    <mergeCell ref="W67:W68"/>
    <mergeCell ref="T67:T68"/>
    <mergeCell ref="AN122:AP122"/>
    <mergeCell ref="AR122:AT122"/>
    <mergeCell ref="AS101:AW101"/>
    <mergeCell ref="U77:U78"/>
    <mergeCell ref="AV122:AX122"/>
    <mergeCell ref="S84:X84"/>
    <mergeCell ref="V77:V78"/>
    <mergeCell ref="T77:T78"/>
    <mergeCell ref="E93:O93"/>
    <mergeCell ref="R93:X94"/>
  </mergeCells>
  <phoneticPr fontId="0" type="noConversion"/>
  <conditionalFormatting sqref="BH42:BH43">
    <cfRule type="expression" dxfId="63" priority="425" stopIfTrue="1">
      <formula>E42&gt;E40</formula>
    </cfRule>
  </conditionalFormatting>
  <conditionalFormatting sqref="BH44:BH45">
    <cfRule type="expression" dxfId="62" priority="435" stopIfTrue="1">
      <formula>E44&gt;E40</formula>
    </cfRule>
  </conditionalFormatting>
  <conditionalFormatting sqref="K9">
    <cfRule type="expression" dxfId="61" priority="447" stopIfTrue="1">
      <formula>$K$8="x"</formula>
    </cfRule>
  </conditionalFormatting>
  <conditionalFormatting sqref="H61 H64 H67">
    <cfRule type="cellIs" dxfId="60" priority="450" stopIfTrue="1" operator="equal">
      <formula>"Unequal Variance"</formula>
    </cfRule>
    <cfRule type="cellIs" dxfId="59" priority="451" stopIfTrue="1" operator="equal">
      <formula>"Equal Variance"</formula>
    </cfRule>
  </conditionalFormatting>
  <conditionalFormatting sqref="Z16:Z45">
    <cfRule type="cellIs" dxfId="58" priority="457" stopIfTrue="1" operator="equal">
      <formula>"PASS"</formula>
    </cfRule>
    <cfRule type="cellIs" dxfId="57" priority="458" stopIfTrue="1" operator="equal">
      <formula>"FAIL"</formula>
    </cfRule>
    <cfRule type="cellIs" dxfId="56" priority="459" stopIfTrue="1" operator="equal">
      <formula>"ERR grade"</formula>
    </cfRule>
  </conditionalFormatting>
  <conditionalFormatting sqref="L61">
    <cfRule type="cellIs" dxfId="55" priority="347" stopIfTrue="1" operator="equal">
      <formula>"FAIL"</formula>
    </cfRule>
    <cfRule type="cellIs" dxfId="54" priority="348" stopIfTrue="1" operator="equal">
      <formula>"PASS"</formula>
    </cfRule>
  </conditionalFormatting>
  <conditionalFormatting sqref="L67">
    <cfRule type="cellIs" dxfId="53" priority="151" stopIfTrue="1" operator="equal">
      <formula>"FAIL"</formula>
    </cfRule>
    <cfRule type="cellIs" dxfId="52" priority="152" stopIfTrue="1" operator="equal">
      <formula>"PASS"</formula>
    </cfRule>
  </conditionalFormatting>
  <conditionalFormatting sqref="L64">
    <cfRule type="cellIs" dxfId="51" priority="149" stopIfTrue="1" operator="equal">
      <formula>"FAIL"</formula>
    </cfRule>
    <cfRule type="cellIs" dxfId="50" priority="150" stopIfTrue="1" operator="equal">
      <formula>"PASS"</formula>
    </cfRule>
  </conditionalFormatting>
  <conditionalFormatting sqref="F79:F81">
    <cfRule type="containsText" dxfId="49" priority="142" operator="containsText" text="PASS">
      <formula>NOT(ISERROR(SEARCH("PASS",F79)))</formula>
    </cfRule>
    <cfRule type="containsText" dxfId="48" priority="143" operator="containsText" text="FAIL">
      <formula>NOT(ISERROR(SEARCH("FAIL",F79)))</formula>
    </cfRule>
  </conditionalFormatting>
  <conditionalFormatting sqref="O90">
    <cfRule type="containsText" dxfId="47" priority="98" operator="containsText" text="&quot;PASS&quot;">
      <formula>NOT(ISERROR(SEARCH("""PASS""",O90)))</formula>
    </cfRule>
    <cfRule type="containsText" dxfId="46" priority="99" operator="containsText" text="&quot;FAIL&quot;">
      <formula>NOT(ISERROR(SEARCH("""FAIL""",O90)))</formula>
    </cfRule>
  </conditionalFormatting>
  <conditionalFormatting sqref="O89">
    <cfRule type="containsText" dxfId="45" priority="60" operator="containsText" text="PASS">
      <formula>NOT(ISERROR(SEARCH("PASS",O89)))</formula>
    </cfRule>
    <cfRule type="containsText" dxfId="44" priority="61" operator="containsText" text="FAIL">
      <formula>NOT(ISERROR(SEARCH("FAIL",O89)))</formula>
    </cfRule>
  </conditionalFormatting>
  <conditionalFormatting sqref="U79">
    <cfRule type="containsText" dxfId="43" priority="58" operator="containsText" text="PASS">
      <formula>NOT(ISERROR(SEARCH("PASS",U79)))</formula>
    </cfRule>
    <cfRule type="containsText" dxfId="42" priority="59" operator="containsText" text="FAIL">
      <formula>NOT(ISERROR(SEARCH("FAIL",U79)))</formula>
    </cfRule>
  </conditionalFormatting>
  <conditionalFormatting sqref="U80">
    <cfRule type="containsText" dxfId="41" priority="56" operator="containsText" text="PASS">
      <formula>NOT(ISERROR(SEARCH("PASS",U80)))</formula>
    </cfRule>
    <cfRule type="containsText" dxfId="40" priority="57" operator="containsText" text="FAIL">
      <formula>NOT(ISERROR(SEARCH("FAIL",U80)))</formula>
    </cfRule>
  </conditionalFormatting>
  <conditionalFormatting sqref="U81">
    <cfRule type="containsText" dxfId="39" priority="54" operator="containsText" text="PASS">
      <formula>NOT(ISERROR(SEARCH("PASS",U81)))</formula>
    </cfRule>
    <cfRule type="containsText" dxfId="38" priority="55" operator="containsText" text="FAIL">
      <formula>NOT(ISERROR(SEARCH("FAIL",U81)))</formula>
    </cfRule>
  </conditionalFormatting>
  <conditionalFormatting sqref="X79">
    <cfRule type="containsText" dxfId="37" priority="52" operator="containsText" text="PASS">
      <formula>NOT(ISERROR(SEARCH("PASS",X79)))</formula>
    </cfRule>
    <cfRule type="containsText" dxfId="36" priority="53" operator="containsText" text="FAIL">
      <formula>NOT(ISERROR(SEARCH("FAIL",X79)))</formula>
    </cfRule>
  </conditionalFormatting>
  <conditionalFormatting sqref="X80">
    <cfRule type="containsText" dxfId="35" priority="50" operator="containsText" text="PASS">
      <formula>NOT(ISERROR(SEARCH("PASS",X80)))</formula>
    </cfRule>
    <cfRule type="containsText" dxfId="34" priority="51" operator="containsText" text="FAIL">
      <formula>NOT(ISERROR(SEARCH("FAIL",X80)))</formula>
    </cfRule>
  </conditionalFormatting>
  <conditionalFormatting sqref="U88">
    <cfRule type="containsText" dxfId="33" priority="48" operator="containsText" text="PASS">
      <formula>NOT(ISERROR(SEARCH("PASS",U88)))</formula>
    </cfRule>
    <cfRule type="containsText" dxfId="32" priority="49" operator="containsText" text="FAIL">
      <formula>NOT(ISERROR(SEARCH("FAIL",U88)))</formula>
    </cfRule>
  </conditionalFormatting>
  <conditionalFormatting sqref="U89">
    <cfRule type="containsText" dxfId="31" priority="46" operator="containsText" text="PASS">
      <formula>NOT(ISERROR(SEARCH("PASS",U89)))</formula>
    </cfRule>
    <cfRule type="containsText" dxfId="30" priority="47" operator="containsText" text="FAIL">
      <formula>NOT(ISERROR(SEARCH("FAIL",U89)))</formula>
    </cfRule>
  </conditionalFormatting>
  <conditionalFormatting sqref="U90">
    <cfRule type="containsText" dxfId="29" priority="44" operator="containsText" text="PASS">
      <formula>NOT(ISERROR(SEARCH("PASS",U90)))</formula>
    </cfRule>
    <cfRule type="containsText" dxfId="28" priority="45" operator="containsText" text="FAIL">
      <formula>NOT(ISERROR(SEARCH("FAIL",U90)))</formula>
    </cfRule>
  </conditionalFormatting>
  <conditionalFormatting sqref="X88">
    <cfRule type="containsText" dxfId="27" priority="42" operator="containsText" text="PASS">
      <formula>NOT(ISERROR(SEARCH("PASS",X88)))</formula>
    </cfRule>
    <cfRule type="containsText" dxfId="26" priority="43" operator="containsText" text="FAIL">
      <formula>NOT(ISERROR(SEARCH("FAIL",X88)))</formula>
    </cfRule>
  </conditionalFormatting>
  <conditionalFormatting sqref="X89">
    <cfRule type="containsText" dxfId="25" priority="40" operator="containsText" text="PASS">
      <formula>NOT(ISERROR(SEARCH("PASS",X89)))</formula>
    </cfRule>
    <cfRule type="containsText" dxfId="24" priority="41" operator="containsText" text="FAIL">
      <formula>NOT(ISERROR(SEARCH("FAIL",X89)))</formula>
    </cfRule>
  </conditionalFormatting>
  <conditionalFormatting sqref="I79:I81">
    <cfRule type="containsText" dxfId="23" priority="30" operator="containsText" text="PASS">
      <formula>NOT(ISERROR(SEARCH("PASS",I79)))</formula>
    </cfRule>
    <cfRule type="containsText" dxfId="22" priority="31" operator="containsText" text="FAIL">
      <formula>NOT(ISERROR(SEARCH("FAIL",I79)))</formula>
    </cfRule>
  </conditionalFormatting>
  <conditionalFormatting sqref="F88:F90">
    <cfRule type="containsText" dxfId="21" priority="28" operator="containsText" text="PASS">
      <formula>NOT(ISERROR(SEARCH("PASS",F88)))</formula>
    </cfRule>
    <cfRule type="containsText" dxfId="20" priority="29" operator="containsText" text="FAIL">
      <formula>NOT(ISERROR(SEARCH("FAIL",F88)))</formula>
    </cfRule>
  </conditionalFormatting>
  <conditionalFormatting sqref="I88:I90">
    <cfRule type="containsText" dxfId="19" priority="26" operator="containsText" text="PASS">
      <formula>NOT(ISERROR(SEARCH("PASS",I88)))</formula>
    </cfRule>
    <cfRule type="containsText" dxfId="18" priority="27" operator="containsText" text="FAIL">
      <formula>NOT(ISERROR(SEARCH("FAIL",I88)))</formula>
    </cfRule>
  </conditionalFormatting>
  <conditionalFormatting sqref="L79:L81">
    <cfRule type="containsText" dxfId="17" priority="20" operator="containsText" text="PASS">
      <formula>NOT(ISERROR(SEARCH("PASS",L79)))</formula>
    </cfRule>
    <cfRule type="containsText" dxfId="16" priority="21" operator="containsText" text="FAIL">
      <formula>NOT(ISERROR(SEARCH("FAIL",L79)))</formula>
    </cfRule>
  </conditionalFormatting>
  <conditionalFormatting sqref="O79:O81">
    <cfRule type="containsText" dxfId="15" priority="18" operator="containsText" text="PASS">
      <formula>NOT(ISERROR(SEARCH("PASS",O79)))</formula>
    </cfRule>
    <cfRule type="containsText" dxfId="14" priority="19" operator="containsText" text="FAIL">
      <formula>NOT(ISERROR(SEARCH("FAIL",O79)))</formula>
    </cfRule>
  </conditionalFormatting>
  <conditionalFormatting sqref="L88:L90">
    <cfRule type="containsText" dxfId="13" priority="16" operator="containsText" text="PASS">
      <formula>NOT(ISERROR(SEARCH("PASS",L88)))</formula>
    </cfRule>
    <cfRule type="containsText" dxfId="12" priority="17" operator="containsText" text="FAIL">
      <formula>NOT(ISERROR(SEARCH("FAIL",L88)))</formula>
    </cfRule>
  </conditionalFormatting>
  <conditionalFormatting sqref="O88">
    <cfRule type="containsText" dxfId="11" priority="10" operator="containsText" text="PASS">
      <formula>NOT(ISERROR(SEARCH("PASS",O88)))</formula>
    </cfRule>
    <cfRule type="containsText" dxfId="10" priority="11" operator="containsText" text="FAIL">
      <formula>NOT(ISERROR(SEARCH("FAIL",O88)))</formula>
    </cfRule>
  </conditionalFormatting>
  <conditionalFormatting sqref="Z57">
    <cfRule type="cellIs" dxfId="9" priority="7" stopIfTrue="1" operator="equal">
      <formula>"PASS"</formula>
    </cfRule>
    <cfRule type="cellIs" dxfId="8" priority="8" stopIfTrue="1" operator="equal">
      <formula>"FAIL"</formula>
    </cfRule>
    <cfRule type="cellIs" dxfId="7" priority="9" stopIfTrue="1" operator="equal">
      <formula>"ERR grade"</formula>
    </cfRule>
  </conditionalFormatting>
  <conditionalFormatting sqref="V15:V45 V47:V57">
    <cfRule type="expression" dxfId="6" priority="495" stopIfTrue="1">
      <formula>+$K$9="X"</formula>
    </cfRule>
  </conditionalFormatting>
  <conditionalFormatting sqref="W15:W45 W47:W57">
    <cfRule type="expression" dxfId="5" priority="503" stopIfTrue="1">
      <formula>$K$9="x"</formula>
    </cfRule>
  </conditionalFormatting>
  <conditionalFormatting sqref="U47:U57 U15:U45">
    <cfRule type="expression" dxfId="4" priority="505">
      <formula>$K$9="x"</formula>
    </cfRule>
  </conditionalFormatting>
  <conditionalFormatting sqref="T15:T45 T47:T57">
    <cfRule type="expression" dxfId="3" priority="507">
      <formula>$K$8="x"</formula>
    </cfRule>
  </conditionalFormatting>
  <conditionalFormatting sqref="Z48:Z56">
    <cfRule type="cellIs" dxfId="2" priority="2" stopIfTrue="1" operator="equal">
      <formula>"PASS"</formula>
    </cfRule>
    <cfRule type="cellIs" dxfId="1" priority="3" stopIfTrue="1" operator="equal">
      <formula>"FAIL"</formula>
    </cfRule>
    <cfRule type="cellIs" dxfId="0" priority="4" stopIfTrue="1" operator="equal">
      <formula>"ERR grade"</formula>
    </cfRule>
  </conditionalFormatting>
  <conditionalFormatting sqref="K5">
    <cfRule type="iconSet" priority="1">
      <iconSet iconSet="3Arrows">
        <cfvo type="percent" val="0"/>
        <cfvo type="percent" val="33"/>
        <cfvo type="percent" val="67"/>
      </iconSet>
    </cfRule>
  </conditionalFormatting>
  <pageMargins left="0.17" right="0.17" top="0.73" bottom="0.2" header="0.51" footer="0.19"/>
  <pageSetup scale="42" fitToHeight="0" orientation="landscape" r:id="rId1"/>
  <headerFooter alignWithMargins="0"/>
  <rowBreaks count="1" manualBreakCount="1">
    <brk id="46" min="2"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7"/>
  <sheetViews>
    <sheetView topLeftCell="A22" workbookViewId="0">
      <selection activeCell="I30" sqref="I30"/>
    </sheetView>
  </sheetViews>
  <sheetFormatPr defaultColWidth="8.85546875" defaultRowHeight="12.75" x14ac:dyDescent="0.2"/>
  <sheetData>
    <row r="2" spans="1:2" x14ac:dyDescent="0.2">
      <c r="B2" s="320" t="s">
        <v>66</v>
      </c>
    </row>
    <row r="3" spans="1:2" x14ac:dyDescent="0.2">
      <c r="A3" s="289" t="s">
        <v>134</v>
      </c>
      <c r="B3" s="290">
        <f>+'Entry page'!P62</f>
        <v>0</v>
      </c>
    </row>
    <row r="4" spans="1:2" x14ac:dyDescent="0.2">
      <c r="A4" s="289" t="s">
        <v>135</v>
      </c>
      <c r="B4" s="311">
        <f>+'Entry page'!P63</f>
        <v>0</v>
      </c>
    </row>
    <row r="5" spans="1:2" x14ac:dyDescent="0.2">
      <c r="A5" s="289" t="s">
        <v>136</v>
      </c>
      <c r="B5" s="311">
        <f>+'Entry page'!P64</f>
        <v>0</v>
      </c>
    </row>
    <row r="6" spans="1:2" x14ac:dyDescent="0.2">
      <c r="A6" s="289" t="s">
        <v>137</v>
      </c>
      <c r="B6" s="311">
        <f>+'Entry page'!P65</f>
        <v>0</v>
      </c>
    </row>
    <row r="7" spans="1:2" x14ac:dyDescent="0.2">
      <c r="A7" s="289" t="s">
        <v>138</v>
      </c>
      <c r="B7" s="311">
        <f>+'Entry page'!P66</f>
        <v>0</v>
      </c>
    </row>
    <row r="8" spans="1:2" x14ac:dyDescent="0.2">
      <c r="A8" s="289" t="s">
        <v>139</v>
      </c>
      <c r="B8" s="311">
        <f>+'Entry page'!P67</f>
        <v>0</v>
      </c>
    </row>
    <row r="9" spans="1:2" x14ac:dyDescent="0.2">
      <c r="A9" s="289" t="s">
        <v>140</v>
      </c>
      <c r="B9" s="311">
        <f>+'Entry page'!P68</f>
        <v>0</v>
      </c>
    </row>
    <row r="10" spans="1:2" x14ac:dyDescent="0.2">
      <c r="A10" s="289" t="s">
        <v>141</v>
      </c>
      <c r="B10" s="311">
        <f>+'Entry page'!P69</f>
        <v>0</v>
      </c>
    </row>
    <row r="11" spans="1:2" x14ac:dyDescent="0.2">
      <c r="A11" s="289" t="s">
        <v>142</v>
      </c>
      <c r="B11" s="311">
        <f>+'Entry page'!P70</f>
        <v>0</v>
      </c>
    </row>
    <row r="12" spans="1:2" x14ac:dyDescent="0.2">
      <c r="A12" s="289" t="s">
        <v>143</v>
      </c>
      <c r="B12" s="311">
        <f>+'Entry page'!P71</f>
        <v>0</v>
      </c>
    </row>
    <row r="13" spans="1:2" x14ac:dyDescent="0.2">
      <c r="A13" s="289" t="s">
        <v>144</v>
      </c>
      <c r="B13" s="311">
        <f>+'Entry page'!P72</f>
        <v>0</v>
      </c>
    </row>
    <row r="14" spans="1:2" x14ac:dyDescent="0.2">
      <c r="A14" s="289" t="s">
        <v>145</v>
      </c>
      <c r="B14" s="311">
        <f>+'Entry page'!P73</f>
        <v>0</v>
      </c>
    </row>
    <row r="15" spans="1:2" x14ac:dyDescent="0.2">
      <c r="A15" s="289" t="s">
        <v>146</v>
      </c>
      <c r="B15" s="311">
        <f>+'Entry page'!P74</f>
        <v>0</v>
      </c>
    </row>
    <row r="17" spans="1:10" x14ac:dyDescent="0.2">
      <c r="A17" s="292" t="s">
        <v>147</v>
      </c>
    </row>
    <row r="18" spans="1:10" x14ac:dyDescent="0.2">
      <c r="A18" s="293"/>
      <c r="B18" s="280"/>
    </row>
    <row r="19" spans="1:10" x14ac:dyDescent="0.2">
      <c r="A19" s="295" t="s">
        <v>148</v>
      </c>
      <c r="B19" s="280">
        <f>+'Entry page'!U69</f>
        <v>1000</v>
      </c>
    </row>
    <row r="20" spans="1:10" x14ac:dyDescent="0.2">
      <c r="A20" s="295" t="s">
        <v>149</v>
      </c>
      <c r="B20" s="280">
        <f>+'Entry page'!V69</f>
        <v>1500</v>
      </c>
    </row>
    <row r="21" spans="1:10" x14ac:dyDescent="0.2">
      <c r="A21" s="295"/>
    </row>
    <row r="22" spans="1:10" x14ac:dyDescent="0.2">
      <c r="A22" s="295"/>
    </row>
    <row r="24" spans="1:10" ht="15.75" customHeight="1" thickBot="1" x14ac:dyDescent="0.25"/>
    <row r="25" spans="1:10" ht="34.5" customHeight="1" thickBot="1" x14ac:dyDescent="0.3">
      <c r="D25" s="563" t="s">
        <v>125</v>
      </c>
      <c r="E25" s="564"/>
      <c r="F25" s="564"/>
      <c r="G25" s="564"/>
      <c r="H25" s="564"/>
      <c r="I25" s="565"/>
      <c r="J25" s="281"/>
    </row>
    <row r="26" spans="1:10" ht="26.25" thickBot="1" x14ac:dyDescent="0.25">
      <c r="A26" s="294"/>
      <c r="B26" s="566" t="s">
        <v>150</v>
      </c>
      <c r="C26" s="567"/>
      <c r="D26" s="285" t="s">
        <v>126</v>
      </c>
      <c r="E26" s="286" t="s">
        <v>127</v>
      </c>
      <c r="F26" s="286" t="s">
        <v>128</v>
      </c>
      <c r="G26" s="286" t="s">
        <v>129</v>
      </c>
      <c r="H26" s="308" t="s">
        <v>130</v>
      </c>
      <c r="I26" s="287" t="s">
        <v>131</v>
      </c>
      <c r="J26" s="283"/>
    </row>
    <row r="27" spans="1:10" ht="51.75" thickBot="1" x14ac:dyDescent="0.25">
      <c r="A27" s="296" t="s">
        <v>151</v>
      </c>
      <c r="B27" s="296" t="s">
        <v>152</v>
      </c>
      <c r="C27" s="296" t="s">
        <v>153</v>
      </c>
      <c r="D27" s="297"/>
      <c r="E27" s="297"/>
      <c r="F27" s="298"/>
      <c r="G27" s="304"/>
      <c r="H27" s="309"/>
      <c r="I27" s="306" t="s">
        <v>132</v>
      </c>
      <c r="J27" s="282" t="s">
        <v>133</v>
      </c>
    </row>
    <row r="28" spans="1:10" x14ac:dyDescent="0.2">
      <c r="A28" s="299">
        <f>+'Entry page'!D16</f>
        <v>419</v>
      </c>
      <c r="B28" s="300">
        <f>+'Entry page'!Q16</f>
        <v>978</v>
      </c>
      <c r="C28" s="300">
        <f>+'Entry page'!R16</f>
        <v>113</v>
      </c>
      <c r="D28" s="301">
        <v>2.5</v>
      </c>
      <c r="E28" s="302">
        <f>+$B$7*EXP(-$B$8*D28)-$B$9</f>
        <v>0</v>
      </c>
      <c r="F28" s="302">
        <f>+$B$13*EXP(-$B$14*D28)-$B$15</f>
        <v>0</v>
      </c>
      <c r="G28" s="307" t="e">
        <f>+(1/$B$5)*LN($B$4/(($B28/$B$19)+$B$6))</f>
        <v>#DIV/0!</v>
      </c>
      <c r="H28" s="303" t="e">
        <f>+(1/$B$11)*LN($B$10/(($C28/$B$20)+$B$12))</f>
        <v>#DIV/0!</v>
      </c>
      <c r="I28" s="305" t="str">
        <f>IF(E28=0,"",ROUND(+(G28*F28-H28*E28)/(F28-E28),1))</f>
        <v/>
      </c>
      <c r="J28" s="288"/>
    </row>
    <row r="29" spans="1:10" x14ac:dyDescent="0.2">
      <c r="A29" s="299">
        <f>+'Entry page'!D17</f>
        <v>419</v>
      </c>
      <c r="B29" s="300">
        <f>+'Entry page'!Q17</f>
        <v>981</v>
      </c>
      <c r="C29" s="300">
        <f>+'Entry page'!R17</f>
        <v>119</v>
      </c>
      <c r="D29" s="301">
        <v>2.5</v>
      </c>
      <c r="E29" s="302">
        <f t="shared" ref="E29:E57" si="0">+$B$7*EXP(-$B$8*D29)-$B$9</f>
        <v>0</v>
      </c>
      <c r="F29" s="302">
        <f t="shared" ref="F29:F56" si="1">+$B$13*EXP(-$B$14*D29)-$B$15</f>
        <v>0</v>
      </c>
      <c r="G29" s="307" t="e">
        <f t="shared" ref="G29:G57" si="2">+(1/$B$5)*LN($B$4/(($B29/$B$19)+$B$6))</f>
        <v>#DIV/0!</v>
      </c>
      <c r="H29" s="303" t="e">
        <f t="shared" ref="H29:H57" si="3">+(1/$B$11)*LN($B$10/(($C29/$B$20)+$B$12))</f>
        <v>#DIV/0!</v>
      </c>
      <c r="I29" s="305" t="str">
        <f t="shared" ref="I29:I57" si="4">IF(E29=0,"",ROUND(+(G29*F29-H29*E29)/(F29-E29),1))</f>
        <v/>
      </c>
      <c r="J29" s="284"/>
    </row>
    <row r="30" spans="1:10" x14ac:dyDescent="0.2">
      <c r="A30" s="299">
        <f>+'Entry page'!D18</f>
        <v>420</v>
      </c>
      <c r="B30" s="300">
        <f>+'Entry page'!Q18</f>
        <v>954</v>
      </c>
      <c r="C30" s="300">
        <f>+'Entry page'!R18</f>
        <v>114</v>
      </c>
      <c r="D30" s="301">
        <v>2.5</v>
      </c>
      <c r="E30" s="302">
        <f t="shared" si="0"/>
        <v>0</v>
      </c>
      <c r="F30" s="302">
        <f t="shared" si="1"/>
        <v>0</v>
      </c>
      <c r="G30" s="307" t="e">
        <f t="shared" si="2"/>
        <v>#DIV/0!</v>
      </c>
      <c r="H30" s="303" t="e">
        <f t="shared" si="3"/>
        <v>#DIV/0!</v>
      </c>
      <c r="I30" s="305" t="str">
        <f t="shared" si="4"/>
        <v/>
      </c>
      <c r="J30" s="288"/>
    </row>
    <row r="31" spans="1:10" x14ac:dyDescent="0.2">
      <c r="A31" s="299">
        <f>+'Entry page'!D19</f>
        <v>420</v>
      </c>
      <c r="B31" s="300">
        <f>+'Entry page'!Q19</f>
        <v>969</v>
      </c>
      <c r="C31" s="300">
        <f>+'Entry page'!R19</f>
        <v>116</v>
      </c>
      <c r="D31" s="301">
        <v>2.5</v>
      </c>
      <c r="E31" s="302">
        <f t="shared" si="0"/>
        <v>0</v>
      </c>
      <c r="F31" s="302">
        <f t="shared" si="1"/>
        <v>0</v>
      </c>
      <c r="G31" s="307" t="e">
        <f t="shared" si="2"/>
        <v>#DIV/0!</v>
      </c>
      <c r="H31" s="303" t="e">
        <f t="shared" si="3"/>
        <v>#DIV/0!</v>
      </c>
      <c r="I31" s="305" t="str">
        <f t="shared" si="4"/>
        <v/>
      </c>
      <c r="J31" s="284"/>
    </row>
    <row r="32" spans="1:10" x14ac:dyDescent="0.2">
      <c r="A32" s="299">
        <f>+'Entry page'!D20</f>
        <v>421</v>
      </c>
      <c r="B32" s="300">
        <f>+'Entry page'!Q20</f>
        <v>847</v>
      </c>
      <c r="C32" s="300">
        <f>+'Entry page'!R20</f>
        <v>116</v>
      </c>
      <c r="D32" s="301">
        <v>2.5</v>
      </c>
      <c r="E32" s="302">
        <f t="shared" si="0"/>
        <v>0</v>
      </c>
      <c r="F32" s="302">
        <f t="shared" si="1"/>
        <v>0</v>
      </c>
      <c r="G32" s="307" t="e">
        <f t="shared" si="2"/>
        <v>#DIV/0!</v>
      </c>
      <c r="H32" s="303" t="e">
        <f t="shared" si="3"/>
        <v>#DIV/0!</v>
      </c>
      <c r="I32" s="305" t="str">
        <f t="shared" si="4"/>
        <v/>
      </c>
      <c r="J32" s="288"/>
    </row>
    <row r="33" spans="1:10" x14ac:dyDescent="0.2">
      <c r="A33" s="299">
        <f>+'Entry page'!D21</f>
        <v>421</v>
      </c>
      <c r="B33" s="300">
        <f>+'Entry page'!Q21</f>
        <v>851</v>
      </c>
      <c r="C33" s="300">
        <f>+'Entry page'!R21</f>
        <v>117</v>
      </c>
      <c r="D33" s="301">
        <v>2.5</v>
      </c>
      <c r="E33" s="302">
        <f t="shared" si="0"/>
        <v>0</v>
      </c>
      <c r="F33" s="302">
        <f t="shared" si="1"/>
        <v>0</v>
      </c>
      <c r="G33" s="307" t="e">
        <f t="shared" si="2"/>
        <v>#DIV/0!</v>
      </c>
      <c r="H33" s="303" t="e">
        <f t="shared" si="3"/>
        <v>#DIV/0!</v>
      </c>
      <c r="I33" s="305" t="str">
        <f t="shared" si="4"/>
        <v/>
      </c>
      <c r="J33" s="284"/>
    </row>
    <row r="34" spans="1:10" x14ac:dyDescent="0.2">
      <c r="A34" s="299">
        <f>+'Entry page'!D22</f>
        <v>422</v>
      </c>
      <c r="B34" s="300">
        <f>+'Entry page'!Q22</f>
        <v>988</v>
      </c>
      <c r="C34" s="300">
        <f>+'Entry page'!R22</f>
        <v>130</v>
      </c>
      <c r="D34" s="301">
        <v>2.5</v>
      </c>
      <c r="E34" s="302">
        <f t="shared" si="0"/>
        <v>0</v>
      </c>
      <c r="F34" s="302">
        <f t="shared" si="1"/>
        <v>0</v>
      </c>
      <c r="G34" s="307" t="e">
        <f t="shared" si="2"/>
        <v>#DIV/0!</v>
      </c>
      <c r="H34" s="303" t="e">
        <f t="shared" si="3"/>
        <v>#DIV/0!</v>
      </c>
      <c r="I34" s="305" t="str">
        <f t="shared" si="4"/>
        <v/>
      </c>
      <c r="J34" s="288"/>
    </row>
    <row r="35" spans="1:10" x14ac:dyDescent="0.2">
      <c r="A35" s="299">
        <f>+'Entry page'!D23</f>
        <v>422</v>
      </c>
      <c r="B35" s="300">
        <f>+'Entry page'!Q23</f>
        <v>1000</v>
      </c>
      <c r="C35" s="300">
        <f>+'Entry page'!R23</f>
        <v>128</v>
      </c>
      <c r="D35" s="301">
        <v>2.5</v>
      </c>
      <c r="E35" s="302">
        <f t="shared" si="0"/>
        <v>0</v>
      </c>
      <c r="F35" s="302">
        <f t="shared" si="1"/>
        <v>0</v>
      </c>
      <c r="G35" s="307" t="e">
        <f t="shared" si="2"/>
        <v>#DIV/0!</v>
      </c>
      <c r="H35" s="303" t="e">
        <f t="shared" si="3"/>
        <v>#DIV/0!</v>
      </c>
      <c r="I35" s="305" t="str">
        <f t="shared" si="4"/>
        <v/>
      </c>
      <c r="J35" s="284"/>
    </row>
    <row r="36" spans="1:10" x14ac:dyDescent="0.2">
      <c r="A36" s="299">
        <f>+'Entry page'!D24</f>
        <v>423</v>
      </c>
      <c r="B36" s="300">
        <f>+'Entry page'!Q24</f>
        <v>940</v>
      </c>
      <c r="C36" s="300">
        <f>+'Entry page'!R24</f>
        <v>125</v>
      </c>
      <c r="D36" s="301">
        <v>2.5</v>
      </c>
      <c r="E36" s="302">
        <f t="shared" si="0"/>
        <v>0</v>
      </c>
      <c r="F36" s="302">
        <f t="shared" si="1"/>
        <v>0</v>
      </c>
      <c r="G36" s="307" t="e">
        <f t="shared" si="2"/>
        <v>#DIV/0!</v>
      </c>
      <c r="H36" s="303" t="e">
        <f t="shared" si="3"/>
        <v>#DIV/0!</v>
      </c>
      <c r="I36" s="305" t="str">
        <f t="shared" si="4"/>
        <v/>
      </c>
      <c r="J36" s="288"/>
    </row>
    <row r="37" spans="1:10" x14ac:dyDescent="0.2">
      <c r="A37" s="299">
        <f>+'Entry page'!D25</f>
        <v>423</v>
      </c>
      <c r="B37" s="300">
        <f>+'Entry page'!Q25</f>
        <v>948</v>
      </c>
      <c r="C37" s="300">
        <f>+'Entry page'!R25</f>
        <v>133</v>
      </c>
      <c r="D37" s="301">
        <v>2.5</v>
      </c>
      <c r="E37" s="302">
        <f t="shared" si="0"/>
        <v>0</v>
      </c>
      <c r="F37" s="302">
        <f t="shared" si="1"/>
        <v>0</v>
      </c>
      <c r="G37" s="307" t="e">
        <f t="shared" si="2"/>
        <v>#DIV/0!</v>
      </c>
      <c r="H37" s="303" t="e">
        <f t="shared" si="3"/>
        <v>#DIV/0!</v>
      </c>
      <c r="I37" s="305" t="str">
        <f t="shared" si="4"/>
        <v/>
      </c>
      <c r="J37" s="284"/>
    </row>
    <row r="38" spans="1:10" x14ac:dyDescent="0.2">
      <c r="A38" s="299">
        <f>+'Entry page'!D26</f>
        <v>424</v>
      </c>
      <c r="B38" s="300">
        <f>+'Entry page'!Q26</f>
        <v>1374</v>
      </c>
      <c r="C38" s="300">
        <f>+'Entry page'!R26</f>
        <v>106</v>
      </c>
      <c r="D38" s="301">
        <v>2.5</v>
      </c>
      <c r="E38" s="302">
        <f t="shared" si="0"/>
        <v>0</v>
      </c>
      <c r="F38" s="302">
        <f t="shared" si="1"/>
        <v>0</v>
      </c>
      <c r="G38" s="307" t="e">
        <f t="shared" si="2"/>
        <v>#DIV/0!</v>
      </c>
      <c r="H38" s="303" t="e">
        <f t="shared" si="3"/>
        <v>#DIV/0!</v>
      </c>
      <c r="I38" s="305" t="str">
        <f t="shared" si="4"/>
        <v/>
      </c>
      <c r="J38" s="288"/>
    </row>
    <row r="39" spans="1:10" x14ac:dyDescent="0.2">
      <c r="A39" s="299">
        <f>+'Entry page'!D27</f>
        <v>424</v>
      </c>
      <c r="B39" s="300">
        <f>+'Entry page'!Q27</f>
        <v>1321</v>
      </c>
      <c r="C39" s="300">
        <f>+'Entry page'!R27</f>
        <v>112</v>
      </c>
      <c r="D39" s="301">
        <v>2.5</v>
      </c>
      <c r="E39" s="302">
        <f t="shared" si="0"/>
        <v>0</v>
      </c>
      <c r="F39" s="302">
        <f t="shared" si="1"/>
        <v>0</v>
      </c>
      <c r="G39" s="307" t="e">
        <f t="shared" si="2"/>
        <v>#DIV/0!</v>
      </c>
      <c r="H39" s="303" t="e">
        <f t="shared" si="3"/>
        <v>#DIV/0!</v>
      </c>
      <c r="I39" s="305" t="str">
        <f t="shared" si="4"/>
        <v/>
      </c>
      <c r="J39" s="284"/>
    </row>
    <row r="40" spans="1:10" x14ac:dyDescent="0.2">
      <c r="A40" s="299">
        <f>+'Entry page'!D28</f>
        <v>425</v>
      </c>
      <c r="B40" s="300">
        <f>+'Entry page'!Q28</f>
        <v>964</v>
      </c>
      <c r="C40" s="300">
        <f>+'Entry page'!R28</f>
        <v>124</v>
      </c>
      <c r="D40" s="301">
        <v>2.5</v>
      </c>
      <c r="E40" s="302">
        <f t="shared" si="0"/>
        <v>0</v>
      </c>
      <c r="F40" s="302">
        <f t="shared" si="1"/>
        <v>0</v>
      </c>
      <c r="G40" s="307" t="e">
        <f t="shared" si="2"/>
        <v>#DIV/0!</v>
      </c>
      <c r="H40" s="303" t="e">
        <f t="shared" si="3"/>
        <v>#DIV/0!</v>
      </c>
      <c r="I40" s="305" t="str">
        <f t="shared" si="4"/>
        <v/>
      </c>
      <c r="J40" s="288"/>
    </row>
    <row r="41" spans="1:10" x14ac:dyDescent="0.2">
      <c r="A41" s="299">
        <f>+'Entry page'!D29</f>
        <v>425</v>
      </c>
      <c r="B41" s="300">
        <f>+'Entry page'!Q29</f>
        <v>979</v>
      </c>
      <c r="C41" s="300">
        <f>+'Entry page'!R29</f>
        <v>119</v>
      </c>
      <c r="D41" s="301">
        <v>2.5</v>
      </c>
      <c r="E41" s="302">
        <f t="shared" si="0"/>
        <v>0</v>
      </c>
      <c r="F41" s="302">
        <f t="shared" si="1"/>
        <v>0</v>
      </c>
      <c r="G41" s="307" t="e">
        <f t="shared" si="2"/>
        <v>#DIV/0!</v>
      </c>
      <c r="H41" s="303" t="e">
        <f t="shared" si="3"/>
        <v>#DIV/0!</v>
      </c>
      <c r="I41" s="305" t="str">
        <f t="shared" si="4"/>
        <v/>
      </c>
      <c r="J41" s="284"/>
    </row>
    <row r="42" spans="1:10" x14ac:dyDescent="0.2">
      <c r="A42" s="299">
        <f>+'Entry page'!D30</f>
        <v>0</v>
      </c>
      <c r="B42" s="300">
        <f>+'Entry page'!Q30</f>
        <v>0</v>
      </c>
      <c r="C42" s="300">
        <f>+'Entry page'!R30</f>
        <v>0</v>
      </c>
      <c r="D42" s="301">
        <v>2.5</v>
      </c>
      <c r="E42" s="302">
        <f t="shared" si="0"/>
        <v>0</v>
      </c>
      <c r="F42" s="302">
        <f t="shared" si="1"/>
        <v>0</v>
      </c>
      <c r="G42" s="307" t="e">
        <f t="shared" si="2"/>
        <v>#DIV/0!</v>
      </c>
      <c r="H42" s="303" t="e">
        <f t="shared" si="3"/>
        <v>#DIV/0!</v>
      </c>
      <c r="I42" s="305" t="str">
        <f t="shared" si="4"/>
        <v/>
      </c>
      <c r="J42" s="288"/>
    </row>
    <row r="43" spans="1:10" x14ac:dyDescent="0.2">
      <c r="A43" s="299">
        <f>+'Entry page'!D31</f>
        <v>0</v>
      </c>
      <c r="B43" s="300">
        <f>+'Entry page'!Q31</f>
        <v>0</v>
      </c>
      <c r="C43" s="300">
        <f>+'Entry page'!R31</f>
        <v>0</v>
      </c>
      <c r="D43" s="301">
        <v>2.5</v>
      </c>
      <c r="E43" s="302">
        <f t="shared" si="0"/>
        <v>0</v>
      </c>
      <c r="F43" s="302">
        <f t="shared" si="1"/>
        <v>0</v>
      </c>
      <c r="G43" s="307" t="e">
        <f t="shared" si="2"/>
        <v>#DIV/0!</v>
      </c>
      <c r="H43" s="303" t="e">
        <f t="shared" si="3"/>
        <v>#DIV/0!</v>
      </c>
      <c r="I43" s="305" t="str">
        <f t="shared" si="4"/>
        <v/>
      </c>
      <c r="J43" s="284"/>
    </row>
    <row r="44" spans="1:10" x14ac:dyDescent="0.2">
      <c r="A44" s="299">
        <f>+'Entry page'!D32</f>
        <v>0</v>
      </c>
      <c r="B44" s="300">
        <f>+'Entry page'!Q32</f>
        <v>0</v>
      </c>
      <c r="C44" s="300">
        <f>+'Entry page'!R32</f>
        <v>0</v>
      </c>
      <c r="D44" s="301">
        <v>2.5</v>
      </c>
      <c r="E44" s="302">
        <f t="shared" si="0"/>
        <v>0</v>
      </c>
      <c r="F44" s="302">
        <f t="shared" si="1"/>
        <v>0</v>
      </c>
      <c r="G44" s="307" t="e">
        <f>+(1/$B$5)*LN($B$4/(($B44/$B$19)+$B$6))</f>
        <v>#DIV/0!</v>
      </c>
      <c r="H44" s="303" t="e">
        <f>+(1/$B$11)*LN($B$10/(($C44/$B$20)+$B$12))</f>
        <v>#DIV/0!</v>
      </c>
      <c r="I44" s="305" t="str">
        <f t="shared" si="4"/>
        <v/>
      </c>
      <c r="J44" s="288"/>
    </row>
    <row r="45" spans="1:10" x14ac:dyDescent="0.2">
      <c r="A45" s="299">
        <f>+'Entry page'!D33</f>
        <v>0</v>
      </c>
      <c r="B45" s="300">
        <f>+'Entry page'!Q33</f>
        <v>0</v>
      </c>
      <c r="C45" s="300">
        <f>+'Entry page'!R33</f>
        <v>0</v>
      </c>
      <c r="D45" s="301">
        <v>2.5</v>
      </c>
      <c r="E45" s="302">
        <f t="shared" si="0"/>
        <v>0</v>
      </c>
      <c r="F45" s="302">
        <f t="shared" si="1"/>
        <v>0</v>
      </c>
      <c r="G45" s="307" t="e">
        <f t="shared" si="2"/>
        <v>#DIV/0!</v>
      </c>
      <c r="H45" s="303" t="e">
        <f t="shared" si="3"/>
        <v>#DIV/0!</v>
      </c>
      <c r="I45" s="305" t="str">
        <f t="shared" si="4"/>
        <v/>
      </c>
      <c r="J45" s="284"/>
    </row>
    <row r="46" spans="1:10" x14ac:dyDescent="0.2">
      <c r="A46" s="299">
        <f>+'Entry page'!D34</f>
        <v>0</v>
      </c>
      <c r="B46" s="300">
        <f>+'Entry page'!Q34</f>
        <v>0</v>
      </c>
      <c r="C46" s="300">
        <f>+'Entry page'!R34</f>
        <v>0</v>
      </c>
      <c r="D46" s="301">
        <v>2.5</v>
      </c>
      <c r="E46" s="302">
        <f t="shared" si="0"/>
        <v>0</v>
      </c>
      <c r="F46" s="302">
        <f t="shared" si="1"/>
        <v>0</v>
      </c>
      <c r="G46" s="307" t="e">
        <f t="shared" si="2"/>
        <v>#DIV/0!</v>
      </c>
      <c r="H46" s="303" t="e">
        <f t="shared" si="3"/>
        <v>#DIV/0!</v>
      </c>
      <c r="I46" s="305" t="str">
        <f t="shared" si="4"/>
        <v/>
      </c>
      <c r="J46" s="288"/>
    </row>
    <row r="47" spans="1:10" x14ac:dyDescent="0.2">
      <c r="A47" s="299">
        <f>+'Entry page'!D35</f>
        <v>0</v>
      </c>
      <c r="B47" s="300">
        <f>+'Entry page'!Q35</f>
        <v>0</v>
      </c>
      <c r="C47" s="300">
        <f>+'Entry page'!R35</f>
        <v>0</v>
      </c>
      <c r="D47" s="301">
        <v>2.5</v>
      </c>
      <c r="E47" s="302">
        <f t="shared" si="0"/>
        <v>0</v>
      </c>
      <c r="F47" s="302">
        <f t="shared" si="1"/>
        <v>0</v>
      </c>
      <c r="G47" s="307" t="e">
        <f t="shared" si="2"/>
        <v>#DIV/0!</v>
      </c>
      <c r="H47" s="303" t="e">
        <f t="shared" si="3"/>
        <v>#DIV/0!</v>
      </c>
      <c r="I47" s="305" t="str">
        <f t="shared" si="4"/>
        <v/>
      </c>
      <c r="J47" s="284"/>
    </row>
    <row r="48" spans="1:10" x14ac:dyDescent="0.2">
      <c r="A48" s="299">
        <f>+'Entry page'!D36</f>
        <v>0</v>
      </c>
      <c r="B48" s="300">
        <f>+'Entry page'!Q36</f>
        <v>0</v>
      </c>
      <c r="C48" s="300">
        <f>+'Entry page'!R36</f>
        <v>0</v>
      </c>
      <c r="D48" s="301">
        <v>2.5</v>
      </c>
      <c r="E48" s="302">
        <f t="shared" si="0"/>
        <v>0</v>
      </c>
      <c r="F48" s="302">
        <f t="shared" si="1"/>
        <v>0</v>
      </c>
      <c r="G48" s="307" t="e">
        <f t="shared" si="2"/>
        <v>#DIV/0!</v>
      </c>
      <c r="H48" s="303" t="e">
        <f t="shared" si="3"/>
        <v>#DIV/0!</v>
      </c>
      <c r="I48" s="305" t="str">
        <f t="shared" si="4"/>
        <v/>
      </c>
      <c r="J48" s="288"/>
    </row>
    <row r="49" spans="1:10" x14ac:dyDescent="0.2">
      <c r="A49" s="299">
        <f>+'Entry page'!D37</f>
        <v>0</v>
      </c>
      <c r="B49" s="300">
        <f>+'Entry page'!Q37</f>
        <v>0</v>
      </c>
      <c r="C49" s="300">
        <f>+'Entry page'!R37</f>
        <v>0</v>
      </c>
      <c r="D49" s="301">
        <v>2.5</v>
      </c>
      <c r="E49" s="302">
        <f t="shared" si="0"/>
        <v>0</v>
      </c>
      <c r="F49" s="302">
        <f t="shared" si="1"/>
        <v>0</v>
      </c>
      <c r="G49" s="307" t="e">
        <f t="shared" si="2"/>
        <v>#DIV/0!</v>
      </c>
      <c r="H49" s="303" t="e">
        <f t="shared" si="3"/>
        <v>#DIV/0!</v>
      </c>
      <c r="I49" s="305" t="str">
        <f t="shared" si="4"/>
        <v/>
      </c>
      <c r="J49" s="284"/>
    </row>
    <row r="50" spans="1:10" x14ac:dyDescent="0.2">
      <c r="A50" s="299">
        <f>+'Entry page'!D38</f>
        <v>0</v>
      </c>
      <c r="B50" s="300">
        <f>+'Entry page'!Q38</f>
        <v>0</v>
      </c>
      <c r="C50" s="300">
        <f>+'Entry page'!R38</f>
        <v>0</v>
      </c>
      <c r="D50" s="301">
        <v>2.5</v>
      </c>
      <c r="E50" s="302">
        <f t="shared" si="0"/>
        <v>0</v>
      </c>
      <c r="F50" s="302">
        <f t="shared" si="1"/>
        <v>0</v>
      </c>
      <c r="G50" s="307" t="e">
        <f t="shared" si="2"/>
        <v>#DIV/0!</v>
      </c>
      <c r="H50" s="303" t="e">
        <f t="shared" si="3"/>
        <v>#DIV/0!</v>
      </c>
      <c r="I50" s="305" t="str">
        <f t="shared" si="4"/>
        <v/>
      </c>
      <c r="J50" s="288"/>
    </row>
    <row r="51" spans="1:10" x14ac:dyDescent="0.2">
      <c r="A51" s="299">
        <f>+'Entry page'!D39</f>
        <v>0</v>
      </c>
      <c r="B51" s="300">
        <f>+'Entry page'!Q39</f>
        <v>0</v>
      </c>
      <c r="C51" s="300">
        <f>+'Entry page'!R39</f>
        <v>0</v>
      </c>
      <c r="D51" s="301">
        <v>2.5</v>
      </c>
      <c r="E51" s="302">
        <f t="shared" si="0"/>
        <v>0</v>
      </c>
      <c r="F51" s="302">
        <f t="shared" si="1"/>
        <v>0</v>
      </c>
      <c r="G51" s="307" t="e">
        <f t="shared" si="2"/>
        <v>#DIV/0!</v>
      </c>
      <c r="H51" s="303" t="e">
        <f t="shared" si="3"/>
        <v>#DIV/0!</v>
      </c>
      <c r="I51" s="305" t="str">
        <f t="shared" si="4"/>
        <v/>
      </c>
      <c r="J51" s="284"/>
    </row>
    <row r="52" spans="1:10" x14ac:dyDescent="0.2">
      <c r="A52" s="299">
        <f>+'Entry page'!D40</f>
        <v>0</v>
      </c>
      <c r="B52" s="300">
        <f>+'Entry page'!Q40</f>
        <v>0</v>
      </c>
      <c r="C52" s="300">
        <f>+'Entry page'!R40</f>
        <v>0</v>
      </c>
      <c r="D52" s="301">
        <v>2.5</v>
      </c>
      <c r="E52" s="302">
        <f t="shared" si="0"/>
        <v>0</v>
      </c>
      <c r="F52" s="302">
        <f t="shared" si="1"/>
        <v>0</v>
      </c>
      <c r="G52" s="307" t="e">
        <f t="shared" si="2"/>
        <v>#DIV/0!</v>
      </c>
      <c r="H52" s="303" t="e">
        <f t="shared" si="3"/>
        <v>#DIV/0!</v>
      </c>
      <c r="I52" s="305" t="str">
        <f t="shared" si="4"/>
        <v/>
      </c>
      <c r="J52" s="288"/>
    </row>
    <row r="53" spans="1:10" x14ac:dyDescent="0.2">
      <c r="A53" s="299">
        <f>+'Entry page'!D41</f>
        <v>0</v>
      </c>
      <c r="B53" s="300">
        <f>+'Entry page'!Q41</f>
        <v>0</v>
      </c>
      <c r="C53" s="300">
        <f>+'Entry page'!R41</f>
        <v>0</v>
      </c>
      <c r="D53" s="301">
        <v>2.5</v>
      </c>
      <c r="E53" s="302">
        <f t="shared" si="0"/>
        <v>0</v>
      </c>
      <c r="F53" s="302">
        <f t="shared" si="1"/>
        <v>0</v>
      </c>
      <c r="G53" s="307" t="e">
        <f t="shared" si="2"/>
        <v>#DIV/0!</v>
      </c>
      <c r="H53" s="303" t="e">
        <f t="shared" si="3"/>
        <v>#DIV/0!</v>
      </c>
      <c r="I53" s="305" t="str">
        <f t="shared" si="4"/>
        <v/>
      </c>
      <c r="J53" s="284"/>
    </row>
    <row r="54" spans="1:10" x14ac:dyDescent="0.2">
      <c r="A54" s="299">
        <f>+'Entry page'!D42</f>
        <v>0</v>
      </c>
      <c r="B54" s="300">
        <f>+'Entry page'!Q42</f>
        <v>0</v>
      </c>
      <c r="C54" s="300">
        <f>+'Entry page'!R42</f>
        <v>0</v>
      </c>
      <c r="D54" s="301">
        <v>2.5</v>
      </c>
      <c r="E54" s="302">
        <f t="shared" si="0"/>
        <v>0</v>
      </c>
      <c r="F54" s="302">
        <f t="shared" si="1"/>
        <v>0</v>
      </c>
      <c r="G54" s="307" t="e">
        <f t="shared" si="2"/>
        <v>#DIV/0!</v>
      </c>
      <c r="H54" s="303" t="e">
        <f t="shared" si="3"/>
        <v>#DIV/0!</v>
      </c>
      <c r="I54" s="305" t="str">
        <f t="shared" si="4"/>
        <v/>
      </c>
      <c r="J54" s="288"/>
    </row>
    <row r="55" spans="1:10" x14ac:dyDescent="0.2">
      <c r="A55" s="299">
        <f>+'Entry page'!D43</f>
        <v>0</v>
      </c>
      <c r="B55" s="300">
        <f>+'Entry page'!Q43</f>
        <v>0</v>
      </c>
      <c r="C55" s="300">
        <f>+'Entry page'!R43</f>
        <v>0</v>
      </c>
      <c r="D55" s="301">
        <v>2.5</v>
      </c>
      <c r="E55" s="302">
        <f t="shared" si="0"/>
        <v>0</v>
      </c>
      <c r="F55" s="302">
        <f t="shared" si="1"/>
        <v>0</v>
      </c>
      <c r="G55" s="307" t="e">
        <f t="shared" si="2"/>
        <v>#DIV/0!</v>
      </c>
      <c r="H55" s="303" t="e">
        <f t="shared" si="3"/>
        <v>#DIV/0!</v>
      </c>
      <c r="I55" s="305" t="str">
        <f t="shared" si="4"/>
        <v/>
      </c>
      <c r="J55" s="284"/>
    </row>
    <row r="56" spans="1:10" x14ac:dyDescent="0.2">
      <c r="A56" s="299">
        <f>+'Entry page'!D44</f>
        <v>0</v>
      </c>
      <c r="B56" s="300">
        <f>+'Entry page'!Q44</f>
        <v>0</v>
      </c>
      <c r="C56" s="300">
        <f>+'Entry page'!R44</f>
        <v>0</v>
      </c>
      <c r="D56" s="301">
        <v>2.5</v>
      </c>
      <c r="E56" s="302">
        <f t="shared" si="0"/>
        <v>0</v>
      </c>
      <c r="F56" s="302">
        <f t="shared" si="1"/>
        <v>0</v>
      </c>
      <c r="G56" s="307" t="e">
        <f t="shared" si="2"/>
        <v>#DIV/0!</v>
      </c>
      <c r="H56" s="303" t="e">
        <f t="shared" si="3"/>
        <v>#DIV/0!</v>
      </c>
      <c r="I56" s="305" t="str">
        <f t="shared" si="4"/>
        <v/>
      </c>
      <c r="J56" s="288"/>
    </row>
    <row r="57" spans="1:10" x14ac:dyDescent="0.2">
      <c r="A57" s="299">
        <f>+'Entry page'!D45</f>
        <v>0</v>
      </c>
      <c r="B57" s="300">
        <f>+'Entry page'!Q45</f>
        <v>0</v>
      </c>
      <c r="C57" s="300">
        <f>+'Entry page'!R45</f>
        <v>0</v>
      </c>
      <c r="D57" s="301">
        <v>3.5</v>
      </c>
      <c r="E57" s="302">
        <f t="shared" si="0"/>
        <v>0</v>
      </c>
      <c r="F57" s="302">
        <f t="shared" ref="F57" si="5">+$B$13*EXP(-$B$14*D57)-$B$15</f>
        <v>0</v>
      </c>
      <c r="G57" s="307" t="e">
        <f t="shared" si="2"/>
        <v>#DIV/0!</v>
      </c>
      <c r="H57" s="303" t="e">
        <f t="shared" si="3"/>
        <v>#DIV/0!</v>
      </c>
      <c r="I57" s="305" t="str">
        <f t="shared" si="4"/>
        <v/>
      </c>
      <c r="J57" s="291"/>
    </row>
  </sheetData>
  <sheetProtection algorithmName="SHA-512" hashValue="bLdKnoxOKBLrq/m444YgXKtW3P2Dk8Yhn5COznnLpA12Wgjf2K7XVV17FqWmXdH0VKp0ju3CF6VqASjaNQN28g==" saltValue="cI26YmBrtfv4nCEJvCXn7Q==" spinCount="100000" sheet="1" objects="1" scenarios="1"/>
  <customSheetViews>
    <customSheetView guid="{373B6099-BBFB-4C6F-8508-763C02BEB895}">
      <pageMargins left="0.7" right="0.7" top="0.75" bottom="0.75" header="0.3" footer="0.3"/>
    </customSheetView>
  </customSheetViews>
  <mergeCells count="2">
    <mergeCell ref="D25:I25"/>
    <mergeCell ref="B26:C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7"/>
  <sheetViews>
    <sheetView topLeftCell="A23" workbookViewId="0">
      <selection activeCell="J28" sqref="J28:J61"/>
    </sheetView>
  </sheetViews>
  <sheetFormatPr defaultColWidth="8.85546875" defaultRowHeight="12.75" x14ac:dyDescent="0.2"/>
  <sheetData>
    <row r="2" spans="1:2" x14ac:dyDescent="0.2">
      <c r="B2" s="320" t="s">
        <v>66</v>
      </c>
    </row>
    <row r="3" spans="1:2" x14ac:dyDescent="0.2">
      <c r="A3" s="295" t="s">
        <v>134</v>
      </c>
      <c r="B3" s="311">
        <f>+'Entry page'!P62</f>
        <v>0</v>
      </c>
    </row>
    <row r="4" spans="1:2" x14ac:dyDescent="0.2">
      <c r="A4" s="295" t="s">
        <v>135</v>
      </c>
      <c r="B4" s="311">
        <f>+'Entry page'!P63</f>
        <v>0</v>
      </c>
    </row>
    <row r="5" spans="1:2" x14ac:dyDescent="0.2">
      <c r="A5" s="295" t="s">
        <v>136</v>
      </c>
      <c r="B5" s="311">
        <f>+'Entry page'!P64</f>
        <v>0</v>
      </c>
    </row>
    <row r="6" spans="1:2" x14ac:dyDescent="0.2">
      <c r="A6" s="295" t="s">
        <v>137</v>
      </c>
      <c r="B6" s="311">
        <f>+'Entry page'!P65</f>
        <v>0</v>
      </c>
    </row>
    <row r="7" spans="1:2" x14ac:dyDescent="0.2">
      <c r="A7" s="295" t="s">
        <v>138</v>
      </c>
      <c r="B7" s="311">
        <f>+'Entry page'!P66</f>
        <v>0</v>
      </c>
    </row>
    <row r="8" spans="1:2" x14ac:dyDescent="0.2">
      <c r="A8" s="295" t="s">
        <v>139</v>
      </c>
      <c r="B8" s="311">
        <f>+'Entry page'!P67</f>
        <v>0</v>
      </c>
    </row>
    <row r="9" spans="1:2" x14ac:dyDescent="0.2">
      <c r="A9" s="295" t="s">
        <v>140</v>
      </c>
      <c r="B9" s="311">
        <f>+'Entry page'!P68</f>
        <v>0</v>
      </c>
    </row>
    <row r="10" spans="1:2" x14ac:dyDescent="0.2">
      <c r="A10" s="295" t="s">
        <v>141</v>
      </c>
      <c r="B10" s="311">
        <f>+'Entry page'!P69</f>
        <v>0</v>
      </c>
    </row>
    <row r="11" spans="1:2" x14ac:dyDescent="0.2">
      <c r="A11" s="295" t="s">
        <v>142</v>
      </c>
      <c r="B11" s="311">
        <f>+'Entry page'!P70</f>
        <v>0</v>
      </c>
    </row>
    <row r="12" spans="1:2" x14ac:dyDescent="0.2">
      <c r="A12" s="295" t="s">
        <v>143</v>
      </c>
      <c r="B12" s="311">
        <f>+'Entry page'!P71</f>
        <v>0</v>
      </c>
    </row>
    <row r="13" spans="1:2" x14ac:dyDescent="0.2">
      <c r="A13" s="295" t="s">
        <v>144</v>
      </c>
      <c r="B13" s="311">
        <f>+'Entry page'!P72</f>
        <v>0</v>
      </c>
    </row>
    <row r="14" spans="1:2" x14ac:dyDescent="0.2">
      <c r="A14" s="295" t="s">
        <v>145</v>
      </c>
      <c r="B14" s="311">
        <f>+'Entry page'!P73</f>
        <v>0</v>
      </c>
    </row>
    <row r="15" spans="1:2" x14ac:dyDescent="0.2">
      <c r="A15" s="295" t="s">
        <v>146</v>
      </c>
      <c r="B15" s="311">
        <f>+'Entry page'!P74</f>
        <v>0</v>
      </c>
    </row>
    <row r="17" spans="1:10" x14ac:dyDescent="0.2">
      <c r="A17" s="292" t="s">
        <v>147</v>
      </c>
    </row>
    <row r="18" spans="1:10" x14ac:dyDescent="0.2">
      <c r="A18" s="295"/>
      <c r="B18" s="280"/>
    </row>
    <row r="19" spans="1:10" x14ac:dyDescent="0.2">
      <c r="A19" s="295" t="s">
        <v>148</v>
      </c>
      <c r="B19" s="280">
        <f>+'Entry page'!U69</f>
        <v>1000</v>
      </c>
    </row>
    <row r="20" spans="1:10" x14ac:dyDescent="0.2">
      <c r="A20" s="295" t="s">
        <v>149</v>
      </c>
      <c r="B20" s="280">
        <f>+'Entry page'!V69</f>
        <v>1500</v>
      </c>
    </row>
    <row r="21" spans="1:10" x14ac:dyDescent="0.2">
      <c r="A21" s="295"/>
    </row>
    <row r="22" spans="1:10" x14ac:dyDescent="0.2">
      <c r="A22" s="295"/>
    </row>
    <row r="24" spans="1:10" ht="15.75" customHeight="1" thickBot="1" x14ac:dyDescent="0.25"/>
    <row r="25" spans="1:10" ht="34.5" customHeight="1" thickBot="1" x14ac:dyDescent="0.3">
      <c r="D25" s="563" t="s">
        <v>125</v>
      </c>
      <c r="E25" s="564"/>
      <c r="F25" s="564"/>
      <c r="G25" s="564"/>
      <c r="H25" s="564"/>
      <c r="I25" s="565"/>
      <c r="J25" s="281"/>
    </row>
    <row r="26" spans="1:10" ht="26.25" thickBot="1" x14ac:dyDescent="0.25">
      <c r="A26" s="294"/>
      <c r="B26" s="566" t="s">
        <v>150</v>
      </c>
      <c r="C26" s="567"/>
      <c r="D26" s="285" t="s">
        <v>126</v>
      </c>
      <c r="E26" s="286" t="s">
        <v>127</v>
      </c>
      <c r="F26" s="286" t="s">
        <v>128</v>
      </c>
      <c r="G26" s="286" t="s">
        <v>129</v>
      </c>
      <c r="H26" s="308" t="s">
        <v>130</v>
      </c>
      <c r="I26" s="287" t="s">
        <v>131</v>
      </c>
      <c r="J26" s="283"/>
    </row>
    <row r="27" spans="1:10" ht="51.75" thickBot="1" x14ac:dyDescent="0.25">
      <c r="A27" s="296" t="s">
        <v>151</v>
      </c>
      <c r="B27" s="296" t="s">
        <v>152</v>
      </c>
      <c r="C27" s="296" t="s">
        <v>153</v>
      </c>
      <c r="D27" s="297"/>
      <c r="E27" s="297"/>
      <c r="F27" s="298"/>
      <c r="G27" s="304"/>
      <c r="H27" s="309"/>
      <c r="I27" s="328" t="s">
        <v>132</v>
      </c>
      <c r="J27" s="282" t="s">
        <v>133</v>
      </c>
    </row>
    <row r="28" spans="1:10" x14ac:dyDescent="0.2">
      <c r="A28" s="299">
        <f>+'Entry page'!D16</f>
        <v>419</v>
      </c>
      <c r="B28" s="300">
        <f>+'Entry page'!Q48</f>
        <v>913</v>
      </c>
      <c r="C28" s="300">
        <f>+'Entry page'!R48</f>
        <v>125</v>
      </c>
      <c r="D28" s="301">
        <v>2.5</v>
      </c>
      <c r="E28" s="302">
        <f>+$B$7*EXP(-$B$8*D28)-$B$9</f>
        <v>0</v>
      </c>
      <c r="F28" s="302">
        <f>+$B$13*EXP(-$B$14*D28)-$B$15</f>
        <v>0</v>
      </c>
      <c r="G28" s="307" t="e">
        <f>+(1/$B$5)*LN($B$4/(($B28/$B$19)+$B$6))</f>
        <v>#DIV/0!</v>
      </c>
      <c r="H28" s="303" t="e">
        <f>+(1/$B$11)*LN($B$10/(($C28/$B$20)+$B$12))</f>
        <v>#DIV/0!</v>
      </c>
      <c r="I28" s="305" t="str">
        <f>IF(E28=0,"",ROUND(+(G28*F28-H28*E28)/(F28-E28),1))</f>
        <v/>
      </c>
      <c r="J28" s="291"/>
    </row>
    <row r="29" spans="1:10" x14ac:dyDescent="0.2">
      <c r="A29" s="299">
        <f>+'Entry page'!D17</f>
        <v>419</v>
      </c>
      <c r="B29" s="300">
        <f>+'Entry page'!Q49</f>
        <v>896</v>
      </c>
      <c r="C29" s="300">
        <f>+'Entry page'!R49</f>
        <v>133</v>
      </c>
      <c r="D29" s="301">
        <v>2.5</v>
      </c>
      <c r="E29" s="302">
        <f t="shared" ref="E29:E57" si="0">+$B$7*EXP(-$B$8*D29)-$B$9</f>
        <v>0</v>
      </c>
      <c r="F29" s="302">
        <f t="shared" ref="F29:F57" si="1">+$B$13*EXP(-$B$14*D29)-$B$15</f>
        <v>0</v>
      </c>
      <c r="G29" s="307" t="e">
        <f t="shared" ref="G29:G57" si="2">+(1/$B$5)*LN($B$4/(($B29/$B$19)+$B$6))</f>
        <v>#DIV/0!</v>
      </c>
      <c r="H29" s="303" t="e">
        <f t="shared" ref="H29:H57" si="3">+(1/$B$11)*LN($B$10/(($C29/$B$20)+$B$12))</f>
        <v>#DIV/0!</v>
      </c>
      <c r="I29" s="305" t="str">
        <f t="shared" ref="I29:I57" si="4">IF(E29=0,"",ROUND(+(G29*F29-H29*E29)/(F29-E29),1))</f>
        <v/>
      </c>
      <c r="J29" s="284"/>
    </row>
    <row r="30" spans="1:10" x14ac:dyDescent="0.2">
      <c r="A30" s="299">
        <f>+'Entry page'!D18</f>
        <v>420</v>
      </c>
      <c r="B30" s="300">
        <f>+'Entry page'!Q50</f>
        <v>930</v>
      </c>
      <c r="C30" s="300">
        <f>+'Entry page'!R50</f>
        <v>132</v>
      </c>
      <c r="D30" s="301">
        <v>2.5</v>
      </c>
      <c r="E30" s="302">
        <f t="shared" si="0"/>
        <v>0</v>
      </c>
      <c r="F30" s="302">
        <f t="shared" si="1"/>
        <v>0</v>
      </c>
      <c r="G30" s="307" t="e">
        <f t="shared" si="2"/>
        <v>#DIV/0!</v>
      </c>
      <c r="H30" s="303" t="e">
        <f t="shared" si="3"/>
        <v>#DIV/0!</v>
      </c>
      <c r="I30" s="305" t="str">
        <f t="shared" si="4"/>
        <v/>
      </c>
      <c r="J30" s="291"/>
    </row>
    <row r="31" spans="1:10" x14ac:dyDescent="0.2">
      <c r="A31" s="299">
        <f>+'Entry page'!D19</f>
        <v>420</v>
      </c>
      <c r="B31" s="300">
        <f>+'Entry page'!Q51</f>
        <v>942</v>
      </c>
      <c r="C31" s="300">
        <f>+'Entry page'!R51</f>
        <v>133</v>
      </c>
      <c r="D31" s="301">
        <v>2.5</v>
      </c>
      <c r="E31" s="302">
        <f t="shared" si="0"/>
        <v>0</v>
      </c>
      <c r="F31" s="302">
        <f t="shared" si="1"/>
        <v>0</v>
      </c>
      <c r="G31" s="307" t="e">
        <f t="shared" si="2"/>
        <v>#DIV/0!</v>
      </c>
      <c r="H31" s="303" t="e">
        <f t="shared" si="3"/>
        <v>#DIV/0!</v>
      </c>
      <c r="I31" s="305" t="str">
        <f t="shared" si="4"/>
        <v/>
      </c>
      <c r="J31" s="284"/>
    </row>
    <row r="32" spans="1:10" x14ac:dyDescent="0.2">
      <c r="A32" s="299">
        <f>+'Entry page'!D20</f>
        <v>421</v>
      </c>
      <c r="B32" s="300">
        <f>+'Entry page'!Q52</f>
        <v>0</v>
      </c>
      <c r="C32" s="300">
        <f>+'Entry page'!R52</f>
        <v>0</v>
      </c>
      <c r="D32" s="301">
        <v>2.5</v>
      </c>
      <c r="E32" s="302">
        <f t="shared" si="0"/>
        <v>0</v>
      </c>
      <c r="F32" s="302">
        <f t="shared" si="1"/>
        <v>0</v>
      </c>
      <c r="G32" s="307" t="e">
        <f t="shared" si="2"/>
        <v>#DIV/0!</v>
      </c>
      <c r="H32" s="303" t="e">
        <f t="shared" si="3"/>
        <v>#DIV/0!</v>
      </c>
      <c r="I32" s="305" t="str">
        <f t="shared" si="4"/>
        <v/>
      </c>
      <c r="J32" s="291"/>
    </row>
    <row r="33" spans="1:10" x14ac:dyDescent="0.2">
      <c r="A33" s="299">
        <f>+'Entry page'!D21</f>
        <v>421</v>
      </c>
      <c r="B33" s="300">
        <f>+'Entry page'!Q53</f>
        <v>0</v>
      </c>
      <c r="C33" s="300">
        <f>+'Entry page'!R53</f>
        <v>0</v>
      </c>
      <c r="D33" s="301">
        <v>2.5</v>
      </c>
      <c r="E33" s="302">
        <f t="shared" si="0"/>
        <v>0</v>
      </c>
      <c r="F33" s="302">
        <f t="shared" si="1"/>
        <v>0</v>
      </c>
      <c r="G33" s="307" t="e">
        <f t="shared" si="2"/>
        <v>#DIV/0!</v>
      </c>
      <c r="H33" s="303" t="e">
        <f t="shared" si="3"/>
        <v>#DIV/0!</v>
      </c>
      <c r="I33" s="305" t="str">
        <f t="shared" si="4"/>
        <v/>
      </c>
      <c r="J33" s="284"/>
    </row>
    <row r="34" spans="1:10" x14ac:dyDescent="0.2">
      <c r="A34" s="299">
        <f>+'Entry page'!D22</f>
        <v>422</v>
      </c>
      <c r="B34" s="300">
        <f>+'Entry page'!Q54</f>
        <v>0</v>
      </c>
      <c r="C34" s="300">
        <f>+'Entry page'!R54</f>
        <v>0</v>
      </c>
      <c r="D34" s="301">
        <v>2.5</v>
      </c>
      <c r="E34" s="302">
        <f t="shared" si="0"/>
        <v>0</v>
      </c>
      <c r="F34" s="302">
        <f t="shared" si="1"/>
        <v>0</v>
      </c>
      <c r="G34" s="307" t="e">
        <f t="shared" si="2"/>
        <v>#DIV/0!</v>
      </c>
      <c r="H34" s="303" t="e">
        <f t="shared" si="3"/>
        <v>#DIV/0!</v>
      </c>
      <c r="I34" s="305" t="str">
        <f t="shared" si="4"/>
        <v/>
      </c>
      <c r="J34" s="291"/>
    </row>
    <row r="35" spans="1:10" x14ac:dyDescent="0.2">
      <c r="A35" s="299">
        <f>+'Entry page'!D23</f>
        <v>422</v>
      </c>
      <c r="B35" s="300">
        <f>+'Entry page'!Q55</f>
        <v>0</v>
      </c>
      <c r="C35" s="300">
        <f>+'Entry page'!R55</f>
        <v>0</v>
      </c>
      <c r="D35" s="301">
        <v>2.5</v>
      </c>
      <c r="E35" s="302">
        <f t="shared" si="0"/>
        <v>0</v>
      </c>
      <c r="F35" s="302">
        <f t="shared" si="1"/>
        <v>0</v>
      </c>
      <c r="G35" s="307" t="e">
        <f t="shared" si="2"/>
        <v>#DIV/0!</v>
      </c>
      <c r="H35" s="303" t="e">
        <f t="shared" si="3"/>
        <v>#DIV/0!</v>
      </c>
      <c r="I35" s="305" t="str">
        <f t="shared" si="4"/>
        <v/>
      </c>
      <c r="J35" s="284"/>
    </row>
    <row r="36" spans="1:10" x14ac:dyDescent="0.2">
      <c r="A36" s="299">
        <f>+'Entry page'!D24</f>
        <v>423</v>
      </c>
      <c r="B36" s="300">
        <f>+'Entry page'!Q56</f>
        <v>0</v>
      </c>
      <c r="C36" s="300">
        <f>+'Entry page'!R56</f>
        <v>0</v>
      </c>
      <c r="D36" s="301">
        <v>2.5</v>
      </c>
      <c r="E36" s="302">
        <f t="shared" si="0"/>
        <v>0</v>
      </c>
      <c r="F36" s="302">
        <f t="shared" si="1"/>
        <v>0</v>
      </c>
      <c r="G36" s="307" t="e">
        <f t="shared" si="2"/>
        <v>#DIV/0!</v>
      </c>
      <c r="H36" s="303" t="e">
        <f t="shared" si="3"/>
        <v>#DIV/0!</v>
      </c>
      <c r="I36" s="305" t="str">
        <f t="shared" si="4"/>
        <v/>
      </c>
      <c r="J36" s="291"/>
    </row>
    <row r="37" spans="1:10" x14ac:dyDescent="0.2">
      <c r="A37" s="299">
        <f>+'Entry page'!D25</f>
        <v>423</v>
      </c>
      <c r="B37" s="300">
        <f>+'Entry page'!Q57</f>
        <v>0</v>
      </c>
      <c r="C37" s="300">
        <f>+'Entry page'!R57</f>
        <v>0</v>
      </c>
      <c r="D37" s="301">
        <v>2.5</v>
      </c>
      <c r="E37" s="302">
        <f t="shared" si="0"/>
        <v>0</v>
      </c>
      <c r="F37" s="302">
        <f t="shared" si="1"/>
        <v>0</v>
      </c>
      <c r="G37" s="307" t="e">
        <f t="shared" si="2"/>
        <v>#DIV/0!</v>
      </c>
      <c r="H37" s="303" t="e">
        <f t="shared" si="3"/>
        <v>#DIV/0!</v>
      </c>
      <c r="I37" s="305" t="str">
        <f t="shared" si="4"/>
        <v/>
      </c>
      <c r="J37" s="284"/>
    </row>
    <row r="38" spans="1:10" x14ac:dyDescent="0.2">
      <c r="A38" s="299">
        <f>+'Entry page'!D26</f>
        <v>424</v>
      </c>
      <c r="B38" s="300">
        <f>+'Entry page'!Q58</f>
        <v>0</v>
      </c>
      <c r="C38" s="300">
        <f>+'Entry page'!R58</f>
        <v>0</v>
      </c>
      <c r="D38" s="301">
        <v>2.5</v>
      </c>
      <c r="E38" s="302">
        <f t="shared" si="0"/>
        <v>0</v>
      </c>
      <c r="F38" s="302">
        <f t="shared" si="1"/>
        <v>0</v>
      </c>
      <c r="G38" s="307" t="e">
        <f t="shared" si="2"/>
        <v>#DIV/0!</v>
      </c>
      <c r="H38" s="303" t="e">
        <f t="shared" si="3"/>
        <v>#DIV/0!</v>
      </c>
      <c r="I38" s="305" t="str">
        <f t="shared" si="4"/>
        <v/>
      </c>
      <c r="J38" s="291"/>
    </row>
    <row r="39" spans="1:10" x14ac:dyDescent="0.2">
      <c r="A39" s="299">
        <f>+'Entry page'!D27</f>
        <v>424</v>
      </c>
      <c r="B39" s="300"/>
      <c r="C39" s="300">
        <f>+'Entry page'!R27</f>
        <v>112</v>
      </c>
      <c r="D39" s="301">
        <v>2.5</v>
      </c>
      <c r="E39" s="302">
        <f t="shared" si="0"/>
        <v>0</v>
      </c>
      <c r="F39" s="302">
        <f t="shared" si="1"/>
        <v>0</v>
      </c>
      <c r="G39" s="307" t="e">
        <f t="shared" si="2"/>
        <v>#DIV/0!</v>
      </c>
      <c r="H39" s="303" t="e">
        <f t="shared" si="3"/>
        <v>#DIV/0!</v>
      </c>
      <c r="I39" s="305" t="str">
        <f t="shared" si="4"/>
        <v/>
      </c>
      <c r="J39" s="284"/>
    </row>
    <row r="40" spans="1:10" x14ac:dyDescent="0.2">
      <c r="A40" s="299">
        <f>+'Entry page'!D28</f>
        <v>425</v>
      </c>
      <c r="B40" s="300"/>
      <c r="C40" s="300">
        <f>+'Entry page'!R28</f>
        <v>124</v>
      </c>
      <c r="D40" s="301">
        <v>2.5</v>
      </c>
      <c r="E40" s="302">
        <f t="shared" si="0"/>
        <v>0</v>
      </c>
      <c r="F40" s="302">
        <f t="shared" si="1"/>
        <v>0</v>
      </c>
      <c r="G40" s="307" t="e">
        <f t="shared" si="2"/>
        <v>#DIV/0!</v>
      </c>
      <c r="H40" s="303" t="e">
        <f t="shared" si="3"/>
        <v>#DIV/0!</v>
      </c>
      <c r="I40" s="305" t="str">
        <f t="shared" si="4"/>
        <v/>
      </c>
      <c r="J40" s="291"/>
    </row>
    <row r="41" spans="1:10" x14ac:dyDescent="0.2">
      <c r="A41" s="299">
        <f>+'Entry page'!D29</f>
        <v>425</v>
      </c>
      <c r="B41" s="300"/>
      <c r="C41" s="300">
        <f>+'Entry page'!R29</f>
        <v>119</v>
      </c>
      <c r="D41" s="301">
        <v>2.5</v>
      </c>
      <c r="E41" s="302">
        <f t="shared" si="0"/>
        <v>0</v>
      </c>
      <c r="F41" s="302">
        <f t="shared" si="1"/>
        <v>0</v>
      </c>
      <c r="G41" s="307" t="e">
        <f t="shared" si="2"/>
        <v>#DIV/0!</v>
      </c>
      <c r="H41" s="303" t="e">
        <f t="shared" si="3"/>
        <v>#DIV/0!</v>
      </c>
      <c r="I41" s="305" t="str">
        <f t="shared" si="4"/>
        <v/>
      </c>
      <c r="J41" s="284"/>
    </row>
    <row r="42" spans="1:10" x14ac:dyDescent="0.2">
      <c r="A42" s="299">
        <f>+'Entry page'!D30</f>
        <v>0</v>
      </c>
      <c r="B42" s="300"/>
      <c r="C42" s="300">
        <f>+'Entry page'!R30</f>
        <v>0</v>
      </c>
      <c r="D42" s="301">
        <v>2.5</v>
      </c>
      <c r="E42" s="302">
        <f t="shared" si="0"/>
        <v>0</v>
      </c>
      <c r="F42" s="302">
        <f t="shared" si="1"/>
        <v>0</v>
      </c>
      <c r="G42" s="307" t="e">
        <f t="shared" si="2"/>
        <v>#DIV/0!</v>
      </c>
      <c r="H42" s="303" t="e">
        <f t="shared" si="3"/>
        <v>#DIV/0!</v>
      </c>
      <c r="I42" s="305" t="str">
        <f t="shared" si="4"/>
        <v/>
      </c>
      <c r="J42" s="291"/>
    </row>
    <row r="43" spans="1:10" x14ac:dyDescent="0.2">
      <c r="A43" s="299">
        <f>+'Entry page'!D31</f>
        <v>0</v>
      </c>
      <c r="B43" s="300"/>
      <c r="C43" s="300">
        <f>+'Entry page'!R31</f>
        <v>0</v>
      </c>
      <c r="D43" s="301">
        <v>2.5</v>
      </c>
      <c r="E43" s="302">
        <f t="shared" si="0"/>
        <v>0</v>
      </c>
      <c r="F43" s="302">
        <f t="shared" si="1"/>
        <v>0</v>
      </c>
      <c r="G43" s="307" t="e">
        <f t="shared" si="2"/>
        <v>#DIV/0!</v>
      </c>
      <c r="H43" s="303" t="e">
        <f t="shared" si="3"/>
        <v>#DIV/0!</v>
      </c>
      <c r="I43" s="305" t="str">
        <f t="shared" si="4"/>
        <v/>
      </c>
      <c r="J43" s="284"/>
    </row>
    <row r="44" spans="1:10" x14ac:dyDescent="0.2">
      <c r="A44" s="299">
        <f>+'Entry page'!D32</f>
        <v>0</v>
      </c>
      <c r="B44" s="300"/>
      <c r="C44" s="300">
        <f>+'Entry page'!R32</f>
        <v>0</v>
      </c>
      <c r="D44" s="301">
        <v>2.5</v>
      </c>
      <c r="E44" s="302">
        <f t="shared" si="0"/>
        <v>0</v>
      </c>
      <c r="F44" s="302">
        <f t="shared" si="1"/>
        <v>0</v>
      </c>
      <c r="G44" s="307" t="e">
        <f>+(1/$B$5)*LN($B$4/(($B44/$B$19)+$B$6))</f>
        <v>#DIV/0!</v>
      </c>
      <c r="H44" s="303" t="e">
        <f>+(1/$B$11)*LN($B$10/(($C44/$B$20)+$B$12))</f>
        <v>#DIV/0!</v>
      </c>
      <c r="I44" s="305" t="str">
        <f t="shared" si="4"/>
        <v/>
      </c>
      <c r="J44" s="291"/>
    </row>
    <row r="45" spans="1:10" x14ac:dyDescent="0.2">
      <c r="A45" s="299">
        <f>+'Entry page'!D33</f>
        <v>0</v>
      </c>
      <c r="B45" s="300"/>
      <c r="C45" s="300">
        <f>+'Entry page'!R33</f>
        <v>0</v>
      </c>
      <c r="D45" s="301">
        <v>2.5</v>
      </c>
      <c r="E45" s="302">
        <f t="shared" si="0"/>
        <v>0</v>
      </c>
      <c r="F45" s="302">
        <f t="shared" si="1"/>
        <v>0</v>
      </c>
      <c r="G45" s="307" t="e">
        <f t="shared" si="2"/>
        <v>#DIV/0!</v>
      </c>
      <c r="H45" s="303" t="e">
        <f t="shared" si="3"/>
        <v>#DIV/0!</v>
      </c>
      <c r="I45" s="305" t="str">
        <f t="shared" si="4"/>
        <v/>
      </c>
      <c r="J45" s="284"/>
    </row>
    <row r="46" spans="1:10" x14ac:dyDescent="0.2">
      <c r="A46" s="299">
        <f>+'Entry page'!D34</f>
        <v>0</v>
      </c>
      <c r="B46" s="300"/>
      <c r="C46" s="300">
        <f>+'Entry page'!R34</f>
        <v>0</v>
      </c>
      <c r="D46" s="301">
        <v>2.5</v>
      </c>
      <c r="E46" s="302">
        <f t="shared" si="0"/>
        <v>0</v>
      </c>
      <c r="F46" s="302">
        <f t="shared" si="1"/>
        <v>0</v>
      </c>
      <c r="G46" s="307" t="e">
        <f t="shared" si="2"/>
        <v>#DIV/0!</v>
      </c>
      <c r="H46" s="303" t="e">
        <f t="shared" si="3"/>
        <v>#DIV/0!</v>
      </c>
      <c r="I46" s="305" t="str">
        <f t="shared" si="4"/>
        <v/>
      </c>
      <c r="J46" s="291"/>
    </row>
    <row r="47" spans="1:10" x14ac:dyDescent="0.2">
      <c r="A47" s="299">
        <f>+'Entry page'!D35</f>
        <v>0</v>
      </c>
      <c r="B47" s="300"/>
      <c r="C47" s="300">
        <f>+'Entry page'!R35</f>
        <v>0</v>
      </c>
      <c r="D47" s="301">
        <v>2.5</v>
      </c>
      <c r="E47" s="302">
        <f t="shared" si="0"/>
        <v>0</v>
      </c>
      <c r="F47" s="302">
        <f t="shared" si="1"/>
        <v>0</v>
      </c>
      <c r="G47" s="307" t="e">
        <f t="shared" si="2"/>
        <v>#DIV/0!</v>
      </c>
      <c r="H47" s="303" t="e">
        <f t="shared" si="3"/>
        <v>#DIV/0!</v>
      </c>
      <c r="I47" s="305" t="str">
        <f t="shared" si="4"/>
        <v/>
      </c>
      <c r="J47" s="284"/>
    </row>
    <row r="48" spans="1:10" x14ac:dyDescent="0.2">
      <c r="A48" s="299">
        <f>+'Entry page'!D36</f>
        <v>0</v>
      </c>
      <c r="B48" s="300"/>
      <c r="C48" s="300">
        <f>+'Entry page'!R36</f>
        <v>0</v>
      </c>
      <c r="D48" s="301">
        <v>2.5</v>
      </c>
      <c r="E48" s="302">
        <f t="shared" si="0"/>
        <v>0</v>
      </c>
      <c r="F48" s="302">
        <f t="shared" si="1"/>
        <v>0</v>
      </c>
      <c r="G48" s="307" t="e">
        <f t="shared" si="2"/>
        <v>#DIV/0!</v>
      </c>
      <c r="H48" s="303" t="e">
        <f t="shared" si="3"/>
        <v>#DIV/0!</v>
      </c>
      <c r="I48" s="305" t="str">
        <f t="shared" si="4"/>
        <v/>
      </c>
      <c r="J48" s="291"/>
    </row>
    <row r="49" spans="1:10" x14ac:dyDescent="0.2">
      <c r="A49" s="299">
        <f>+'Entry page'!D37</f>
        <v>0</v>
      </c>
      <c r="B49" s="300"/>
      <c r="C49" s="300">
        <f>+'Entry page'!R37</f>
        <v>0</v>
      </c>
      <c r="D49" s="301">
        <v>2.5</v>
      </c>
      <c r="E49" s="302">
        <f t="shared" si="0"/>
        <v>0</v>
      </c>
      <c r="F49" s="302">
        <f t="shared" si="1"/>
        <v>0</v>
      </c>
      <c r="G49" s="307" t="e">
        <f t="shared" si="2"/>
        <v>#DIV/0!</v>
      </c>
      <c r="H49" s="303" t="e">
        <f t="shared" si="3"/>
        <v>#DIV/0!</v>
      </c>
      <c r="I49" s="305" t="str">
        <f t="shared" si="4"/>
        <v/>
      </c>
      <c r="J49" s="284"/>
    </row>
    <row r="50" spans="1:10" x14ac:dyDescent="0.2">
      <c r="A50" s="299">
        <f>+'Entry page'!D38</f>
        <v>0</v>
      </c>
      <c r="B50" s="300"/>
      <c r="C50" s="300">
        <f>+'Entry page'!R38</f>
        <v>0</v>
      </c>
      <c r="D50" s="301">
        <v>2.5</v>
      </c>
      <c r="E50" s="302">
        <f t="shared" si="0"/>
        <v>0</v>
      </c>
      <c r="F50" s="302">
        <f t="shared" si="1"/>
        <v>0</v>
      </c>
      <c r="G50" s="307" t="e">
        <f t="shared" si="2"/>
        <v>#DIV/0!</v>
      </c>
      <c r="H50" s="303" t="e">
        <f t="shared" si="3"/>
        <v>#DIV/0!</v>
      </c>
      <c r="I50" s="305" t="str">
        <f t="shared" si="4"/>
        <v/>
      </c>
      <c r="J50" s="291"/>
    </row>
    <row r="51" spans="1:10" x14ac:dyDescent="0.2">
      <c r="A51" s="299">
        <f>+'Entry page'!D39</f>
        <v>0</v>
      </c>
      <c r="B51" s="300"/>
      <c r="C51" s="300">
        <f>+'Entry page'!R39</f>
        <v>0</v>
      </c>
      <c r="D51" s="301">
        <v>2.5</v>
      </c>
      <c r="E51" s="302">
        <f t="shared" si="0"/>
        <v>0</v>
      </c>
      <c r="F51" s="302">
        <f t="shared" si="1"/>
        <v>0</v>
      </c>
      <c r="G51" s="307" t="e">
        <f t="shared" si="2"/>
        <v>#DIV/0!</v>
      </c>
      <c r="H51" s="303" t="e">
        <f t="shared" si="3"/>
        <v>#DIV/0!</v>
      </c>
      <c r="I51" s="305" t="str">
        <f t="shared" si="4"/>
        <v/>
      </c>
      <c r="J51" s="284"/>
    </row>
    <row r="52" spans="1:10" x14ac:dyDescent="0.2">
      <c r="A52" s="299">
        <f>+'Entry page'!D40</f>
        <v>0</v>
      </c>
      <c r="B52" s="300"/>
      <c r="C52" s="300">
        <f>+'Entry page'!R40</f>
        <v>0</v>
      </c>
      <c r="D52" s="301">
        <v>2.5</v>
      </c>
      <c r="E52" s="302">
        <f t="shared" si="0"/>
        <v>0</v>
      </c>
      <c r="F52" s="302">
        <f t="shared" si="1"/>
        <v>0</v>
      </c>
      <c r="G52" s="307" t="e">
        <f t="shared" si="2"/>
        <v>#DIV/0!</v>
      </c>
      <c r="H52" s="303" t="e">
        <f t="shared" si="3"/>
        <v>#DIV/0!</v>
      </c>
      <c r="I52" s="305" t="str">
        <f t="shared" si="4"/>
        <v/>
      </c>
      <c r="J52" s="291"/>
    </row>
    <row r="53" spans="1:10" x14ac:dyDescent="0.2">
      <c r="A53" s="299">
        <f>+'Entry page'!D41</f>
        <v>0</v>
      </c>
      <c r="B53" s="300"/>
      <c r="C53" s="300">
        <f>+'Entry page'!R41</f>
        <v>0</v>
      </c>
      <c r="D53" s="301">
        <v>2.5</v>
      </c>
      <c r="E53" s="302">
        <f t="shared" si="0"/>
        <v>0</v>
      </c>
      <c r="F53" s="302">
        <f t="shared" si="1"/>
        <v>0</v>
      </c>
      <c r="G53" s="307" t="e">
        <f t="shared" si="2"/>
        <v>#DIV/0!</v>
      </c>
      <c r="H53" s="303" t="e">
        <f t="shared" si="3"/>
        <v>#DIV/0!</v>
      </c>
      <c r="I53" s="305" t="str">
        <f t="shared" si="4"/>
        <v/>
      </c>
      <c r="J53" s="284"/>
    </row>
    <row r="54" spans="1:10" x14ac:dyDescent="0.2">
      <c r="A54" s="299">
        <f>+'Entry page'!D42</f>
        <v>0</v>
      </c>
      <c r="B54" s="300"/>
      <c r="C54" s="300">
        <f>+'Entry page'!R42</f>
        <v>0</v>
      </c>
      <c r="D54" s="301">
        <v>2.5</v>
      </c>
      <c r="E54" s="302">
        <f t="shared" si="0"/>
        <v>0</v>
      </c>
      <c r="F54" s="302">
        <f t="shared" si="1"/>
        <v>0</v>
      </c>
      <c r="G54" s="307" t="e">
        <f t="shared" si="2"/>
        <v>#DIV/0!</v>
      </c>
      <c r="H54" s="303" t="e">
        <f t="shared" si="3"/>
        <v>#DIV/0!</v>
      </c>
      <c r="I54" s="305" t="str">
        <f t="shared" si="4"/>
        <v/>
      </c>
      <c r="J54" s="291"/>
    </row>
    <row r="55" spans="1:10" x14ac:dyDescent="0.2">
      <c r="A55" s="299">
        <f>+'Entry page'!D43</f>
        <v>0</v>
      </c>
      <c r="B55" s="300"/>
      <c r="C55" s="300">
        <f>+'Entry page'!R43</f>
        <v>0</v>
      </c>
      <c r="D55" s="301">
        <v>2.5</v>
      </c>
      <c r="E55" s="302">
        <f t="shared" si="0"/>
        <v>0</v>
      </c>
      <c r="F55" s="302">
        <f t="shared" si="1"/>
        <v>0</v>
      </c>
      <c r="G55" s="307" t="e">
        <f t="shared" si="2"/>
        <v>#DIV/0!</v>
      </c>
      <c r="H55" s="303" t="e">
        <f t="shared" si="3"/>
        <v>#DIV/0!</v>
      </c>
      <c r="I55" s="305" t="str">
        <f t="shared" si="4"/>
        <v/>
      </c>
      <c r="J55" s="284"/>
    </row>
    <row r="56" spans="1:10" x14ac:dyDescent="0.2">
      <c r="A56" s="299">
        <f>+'Entry page'!D44</f>
        <v>0</v>
      </c>
      <c r="B56" s="300"/>
      <c r="C56" s="300">
        <f>+'Entry page'!R44</f>
        <v>0</v>
      </c>
      <c r="D56" s="301">
        <v>2.5</v>
      </c>
      <c r="E56" s="302">
        <f t="shared" si="0"/>
        <v>0</v>
      </c>
      <c r="F56" s="302">
        <f t="shared" si="1"/>
        <v>0</v>
      </c>
      <c r="G56" s="307" t="e">
        <f t="shared" si="2"/>
        <v>#DIV/0!</v>
      </c>
      <c r="H56" s="303" t="e">
        <f t="shared" si="3"/>
        <v>#DIV/0!</v>
      </c>
      <c r="I56" s="305" t="str">
        <f t="shared" si="4"/>
        <v/>
      </c>
      <c r="J56" s="291"/>
    </row>
    <row r="57" spans="1:10" x14ac:dyDescent="0.2">
      <c r="A57" s="299">
        <f>+'Entry page'!D45</f>
        <v>0</v>
      </c>
      <c r="B57" s="300"/>
      <c r="C57" s="300">
        <f>+'Entry page'!R45</f>
        <v>0</v>
      </c>
      <c r="D57" s="301">
        <v>3.5</v>
      </c>
      <c r="E57" s="302">
        <f t="shared" si="0"/>
        <v>0</v>
      </c>
      <c r="F57" s="302">
        <f t="shared" si="1"/>
        <v>0</v>
      </c>
      <c r="G57" s="307" t="e">
        <f t="shared" si="2"/>
        <v>#DIV/0!</v>
      </c>
      <c r="H57" s="303" t="e">
        <f t="shared" si="3"/>
        <v>#DIV/0!</v>
      </c>
      <c r="I57" s="305" t="str">
        <f t="shared" si="4"/>
        <v/>
      </c>
      <c r="J57" s="291"/>
    </row>
  </sheetData>
  <sheetProtection algorithmName="SHA-512" hashValue="MqirBizNKT9pfP9u6nn7lDexeZo7UkHqWPjAXzFNdI4tC0lGK1tDLohWDYhcSQObAPotEu2qXvil0jKcRonzvA==" saltValue="TYI4PkxMeQCG/3PD7QMRag==" spinCount="100000" sheet="1" objects="1" scenarios="1"/>
  <mergeCells count="2">
    <mergeCell ref="D25:I25"/>
    <mergeCell ref="B26:C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X24"/>
  <sheetViews>
    <sheetView workbookViewId="0">
      <selection activeCell="F43" sqref="F43"/>
    </sheetView>
  </sheetViews>
  <sheetFormatPr defaultColWidth="8.85546875" defaultRowHeight="12.75" x14ac:dyDescent="0.2"/>
  <sheetData>
    <row r="4" spans="4:24" x14ac:dyDescent="0.2">
      <c r="D4" s="1"/>
      <c r="E4" s="1">
        <v>1</v>
      </c>
      <c r="F4" s="1">
        <v>2</v>
      </c>
      <c r="G4" s="1">
        <v>3</v>
      </c>
      <c r="H4" s="1">
        <v>4</v>
      </c>
      <c r="I4" s="1">
        <v>5</v>
      </c>
      <c r="J4" s="1">
        <v>6</v>
      </c>
      <c r="K4" s="1">
        <v>7</v>
      </c>
      <c r="L4" s="1">
        <v>8</v>
      </c>
      <c r="M4" s="1">
        <v>9</v>
      </c>
      <c r="N4" s="1">
        <v>10</v>
      </c>
      <c r="O4" s="1">
        <v>11</v>
      </c>
      <c r="P4" s="1">
        <v>12</v>
      </c>
      <c r="Q4" s="1">
        <v>13</v>
      </c>
      <c r="R4" s="1">
        <v>14</v>
      </c>
      <c r="S4" s="1">
        <v>15</v>
      </c>
      <c r="T4" s="1">
        <v>16</v>
      </c>
      <c r="U4" s="1">
        <v>17</v>
      </c>
      <c r="V4" s="1">
        <v>18</v>
      </c>
      <c r="W4" s="1">
        <v>19</v>
      </c>
      <c r="X4" s="1">
        <v>20</v>
      </c>
    </row>
    <row r="5" spans="4:24" x14ac:dyDescent="0.2">
      <c r="D5" s="1">
        <v>1</v>
      </c>
      <c r="E5" s="2">
        <v>161.46899999999999</v>
      </c>
      <c r="F5" s="2">
        <v>199.49299999999999</v>
      </c>
      <c r="G5" s="2">
        <v>215.73699999999999</v>
      </c>
      <c r="H5" s="2">
        <v>224.5</v>
      </c>
      <c r="I5" s="2">
        <v>230.066</v>
      </c>
      <c r="J5" s="2">
        <v>234.001</v>
      </c>
      <c r="K5" s="2">
        <v>236.77199999999999</v>
      </c>
      <c r="L5" s="2">
        <v>238.94900000000001</v>
      </c>
      <c r="M5" s="2">
        <v>240.49600000000001</v>
      </c>
      <c r="N5" s="2">
        <v>241.83799999999999</v>
      </c>
      <c r="O5" s="2">
        <v>242.96799999999999</v>
      </c>
      <c r="P5" s="2">
        <v>243.88</v>
      </c>
      <c r="Q5" s="2">
        <v>244.798</v>
      </c>
      <c r="R5" s="2">
        <v>245.26</v>
      </c>
      <c r="S5" s="2">
        <v>245.95599999999999</v>
      </c>
      <c r="T5" s="2">
        <v>246.422</v>
      </c>
      <c r="U5" s="2">
        <v>246.89</v>
      </c>
      <c r="V5" s="2">
        <v>247.36</v>
      </c>
      <c r="W5" s="2">
        <v>247.596</v>
      </c>
      <c r="X5" s="2">
        <v>248.06800000000001</v>
      </c>
    </row>
    <row r="6" spans="4:24" x14ac:dyDescent="0.2">
      <c r="D6" s="1">
        <v>2</v>
      </c>
      <c r="E6" s="2">
        <v>18.512799999999999</v>
      </c>
      <c r="F6" s="2">
        <v>18.999500000000001</v>
      </c>
      <c r="G6" s="2">
        <v>19.164200000000001</v>
      </c>
      <c r="H6" s="2">
        <v>19.246700000000001</v>
      </c>
      <c r="I6" s="2">
        <v>19.296900000000001</v>
      </c>
      <c r="J6" s="2">
        <v>19.329899999999999</v>
      </c>
      <c r="K6" s="2">
        <v>19.3536</v>
      </c>
      <c r="L6" s="2">
        <v>19.370999999999999</v>
      </c>
      <c r="M6" s="2">
        <v>19.385200000000001</v>
      </c>
      <c r="N6" s="2">
        <v>19.3963</v>
      </c>
      <c r="O6" s="2">
        <v>19.404299999999999</v>
      </c>
      <c r="P6" s="2">
        <v>19.412199999999999</v>
      </c>
      <c r="Q6" s="2">
        <v>19.418600000000001</v>
      </c>
      <c r="R6" s="2">
        <v>19.425000000000001</v>
      </c>
      <c r="S6" s="2">
        <v>19.4297</v>
      </c>
      <c r="T6" s="2">
        <v>19.4329</v>
      </c>
      <c r="U6" s="2">
        <v>19.4377</v>
      </c>
      <c r="V6" s="2">
        <v>19.440899999999999</v>
      </c>
      <c r="W6" s="2">
        <v>19.442499999999999</v>
      </c>
      <c r="X6" s="2">
        <v>19.445699999999999</v>
      </c>
    </row>
    <row r="7" spans="4:24" x14ac:dyDescent="0.2">
      <c r="D7" s="1">
        <v>3</v>
      </c>
      <c r="E7" s="2">
        <v>10.127800000000001</v>
      </c>
      <c r="F7" s="2">
        <v>9.5521999999999991</v>
      </c>
      <c r="G7" s="2">
        <v>9.2766999999999999</v>
      </c>
      <c r="H7" s="2">
        <v>9.1173000000000002</v>
      </c>
      <c r="I7" s="2">
        <v>9.0132999999999992</v>
      </c>
      <c r="J7" s="2">
        <v>8.9407999999999994</v>
      </c>
      <c r="K7" s="2">
        <v>8.8867999999999991</v>
      </c>
      <c r="L7" s="2">
        <v>8.8452000000000002</v>
      </c>
      <c r="M7" s="2">
        <v>8.8124000000000002</v>
      </c>
      <c r="N7" s="2">
        <v>8.7857000000000003</v>
      </c>
      <c r="O7" s="2">
        <v>8.7635000000000005</v>
      </c>
      <c r="P7" s="2">
        <v>8.7446000000000002</v>
      </c>
      <c r="Q7" s="2">
        <v>8.7286999999999999</v>
      </c>
      <c r="R7" s="2">
        <v>8.7149999999999999</v>
      </c>
      <c r="S7" s="2">
        <v>8.7027999999999999</v>
      </c>
      <c r="T7" s="2">
        <v>8.6922999999999995</v>
      </c>
      <c r="U7" s="2">
        <v>8.6829999999999998</v>
      </c>
      <c r="V7" s="2">
        <v>8.6745000000000001</v>
      </c>
      <c r="W7" s="2">
        <v>8.6669999999999998</v>
      </c>
      <c r="X7" s="2">
        <v>8.6601999999999997</v>
      </c>
    </row>
    <row r="8" spans="4:24" x14ac:dyDescent="0.2">
      <c r="D8" s="1">
        <v>4</v>
      </c>
      <c r="E8" s="2">
        <v>7.7087000000000003</v>
      </c>
      <c r="F8" s="2">
        <v>6.9443999999999999</v>
      </c>
      <c r="G8" s="2">
        <v>6.5914999999999999</v>
      </c>
      <c r="H8" s="2">
        <v>6.3882000000000003</v>
      </c>
      <c r="I8" s="2">
        <v>6.2561</v>
      </c>
      <c r="J8" s="2">
        <v>6.1631</v>
      </c>
      <c r="K8" s="2">
        <v>6.0942999999999996</v>
      </c>
      <c r="L8" s="2">
        <v>6.0411000000000001</v>
      </c>
      <c r="M8" s="2">
        <v>5.9988000000000001</v>
      </c>
      <c r="N8" s="2">
        <v>5.9644000000000004</v>
      </c>
      <c r="O8" s="2">
        <v>5.9359000000000002</v>
      </c>
      <c r="P8" s="2">
        <v>5.9116999999999997</v>
      </c>
      <c r="Q8" s="2">
        <v>5.8912000000000004</v>
      </c>
      <c r="R8" s="2">
        <v>5.8733000000000004</v>
      </c>
      <c r="S8" s="2">
        <v>5.8578000000000001</v>
      </c>
      <c r="T8" s="2">
        <v>5.8440000000000003</v>
      </c>
      <c r="U8" s="2">
        <v>5.8319000000000001</v>
      </c>
      <c r="V8" s="2">
        <v>5.8211000000000004</v>
      </c>
      <c r="W8" s="2">
        <v>5.8113000000000001</v>
      </c>
      <c r="X8" s="2">
        <v>5.8025000000000002</v>
      </c>
    </row>
    <row r="9" spans="4:24" x14ac:dyDescent="0.2">
      <c r="D9" s="1">
        <v>5</v>
      </c>
      <c r="E9" s="2">
        <v>6.6079999999999997</v>
      </c>
      <c r="F9" s="2">
        <v>5.7861000000000002</v>
      </c>
      <c r="G9" s="2">
        <v>5.4095000000000004</v>
      </c>
      <c r="H9" s="2">
        <v>5.1921999999999997</v>
      </c>
      <c r="I9" s="2">
        <v>5.0503</v>
      </c>
      <c r="J9" s="2">
        <v>4.9503000000000004</v>
      </c>
      <c r="K9" s="2">
        <v>4.8758999999999997</v>
      </c>
      <c r="L9" s="2">
        <v>4.8183999999999996</v>
      </c>
      <c r="M9" s="2">
        <v>4.7725</v>
      </c>
      <c r="N9" s="2">
        <v>4.7350000000000003</v>
      </c>
      <c r="O9" s="2">
        <v>4.7039</v>
      </c>
      <c r="P9" s="2">
        <v>4.6776999999999997</v>
      </c>
      <c r="Q9" s="2">
        <v>4.6551999999999998</v>
      </c>
      <c r="R9" s="2">
        <v>4.6357999999999997</v>
      </c>
      <c r="S9" s="2">
        <v>4.6186999999999996</v>
      </c>
      <c r="T9" s="2">
        <v>4.6037999999999997</v>
      </c>
      <c r="U9" s="2">
        <v>4.5903999999999998</v>
      </c>
      <c r="V9" s="2">
        <v>4.5785</v>
      </c>
      <c r="W9" s="2">
        <v>4.5678999999999998</v>
      </c>
      <c r="X9" s="2">
        <v>4.5580999999999996</v>
      </c>
    </row>
    <row r="10" spans="4:24" x14ac:dyDescent="0.2">
      <c r="D10" s="1">
        <v>6</v>
      </c>
      <c r="E10" s="2">
        <v>5.9874000000000001</v>
      </c>
      <c r="F10" s="2">
        <v>5.1433</v>
      </c>
      <c r="G10" s="2">
        <v>4.7569999999999997</v>
      </c>
      <c r="H10" s="2">
        <v>4.5336999999999996</v>
      </c>
      <c r="I10" s="2">
        <v>4.3874000000000004</v>
      </c>
      <c r="J10" s="2">
        <v>4.2838000000000003</v>
      </c>
      <c r="K10" s="2">
        <v>4.2066999999999997</v>
      </c>
      <c r="L10" s="2">
        <v>4.1467999999999998</v>
      </c>
      <c r="M10" s="2">
        <v>4.0990000000000002</v>
      </c>
      <c r="N10" s="2">
        <v>4.0599999999999996</v>
      </c>
      <c r="O10" s="2">
        <v>4.0274999999999999</v>
      </c>
      <c r="P10" s="2">
        <v>3.9998999999999998</v>
      </c>
      <c r="Q10" s="2">
        <v>3.9763999999999999</v>
      </c>
      <c r="R10" s="2">
        <v>3.956</v>
      </c>
      <c r="S10" s="2">
        <v>3.9380999999999999</v>
      </c>
      <c r="T10" s="2">
        <v>3.9222999999999999</v>
      </c>
      <c r="U10" s="2">
        <v>3.9083000000000001</v>
      </c>
      <c r="V10" s="2">
        <v>3.8957000000000002</v>
      </c>
      <c r="W10" s="2">
        <v>3.8843999999999999</v>
      </c>
      <c r="X10" s="2">
        <v>3.8742000000000001</v>
      </c>
    </row>
    <row r="11" spans="4:24" x14ac:dyDescent="0.2">
      <c r="D11" s="1">
        <v>7</v>
      </c>
      <c r="E11" s="2">
        <v>5.5914000000000001</v>
      </c>
      <c r="F11" s="2">
        <v>4.7374000000000001</v>
      </c>
      <c r="G11" s="2">
        <v>4.3468999999999998</v>
      </c>
      <c r="H11" s="2">
        <v>4.1204000000000001</v>
      </c>
      <c r="I11" s="2">
        <v>3.9714999999999998</v>
      </c>
      <c r="J11" s="2">
        <v>3.8660000000000001</v>
      </c>
      <c r="K11" s="2">
        <v>3.7869999999999999</v>
      </c>
      <c r="L11" s="2">
        <v>3.7256999999999998</v>
      </c>
      <c r="M11" s="2">
        <v>3.6766999999999999</v>
      </c>
      <c r="N11" s="2">
        <v>3.6366000000000001</v>
      </c>
      <c r="O11" s="2">
        <v>3.6030000000000002</v>
      </c>
      <c r="P11" s="2">
        <v>3.5747</v>
      </c>
      <c r="Q11" s="2">
        <v>3.5503999999999998</v>
      </c>
      <c r="R11" s="2">
        <v>3.5291999999999999</v>
      </c>
      <c r="S11" s="2">
        <v>3.5106999999999999</v>
      </c>
      <c r="T11" s="2">
        <v>3.4944000000000002</v>
      </c>
      <c r="U11" s="2">
        <v>3.4799000000000002</v>
      </c>
      <c r="V11" s="2">
        <v>3.4668999999999999</v>
      </c>
      <c r="W11" s="2">
        <v>3.4552</v>
      </c>
      <c r="X11" s="2">
        <v>3.4445000000000001</v>
      </c>
    </row>
    <row r="12" spans="4:24" x14ac:dyDescent="0.2">
      <c r="D12" s="1">
        <v>8</v>
      </c>
      <c r="E12" s="2">
        <v>5.3177000000000003</v>
      </c>
      <c r="F12" s="2">
        <v>4.4589999999999996</v>
      </c>
      <c r="G12" s="2">
        <v>4.0662000000000003</v>
      </c>
      <c r="H12" s="2">
        <v>3.8378000000000001</v>
      </c>
      <c r="I12" s="2">
        <v>3.6875</v>
      </c>
      <c r="J12" s="2">
        <v>3.5806</v>
      </c>
      <c r="K12" s="2">
        <v>3.5004</v>
      </c>
      <c r="L12" s="2">
        <v>3.4380999999999999</v>
      </c>
      <c r="M12" s="2">
        <v>3.3881000000000001</v>
      </c>
      <c r="N12" s="2">
        <v>3.3472</v>
      </c>
      <c r="O12" s="2">
        <v>3.3130000000000002</v>
      </c>
      <c r="P12" s="2">
        <v>3.2839</v>
      </c>
      <c r="Q12" s="2">
        <v>3.2589999999999999</v>
      </c>
      <c r="R12" s="2">
        <v>3.2374000000000001</v>
      </c>
      <c r="S12" s="2">
        <v>3.2183999999999999</v>
      </c>
      <c r="T12" s="2">
        <v>3.2017000000000002</v>
      </c>
      <c r="U12" s="2">
        <v>3.1867000000000001</v>
      </c>
      <c r="V12" s="2">
        <v>3.1732999999999998</v>
      </c>
      <c r="W12" s="2">
        <v>3.1613000000000002</v>
      </c>
      <c r="X12" s="2">
        <v>3.1503000000000001</v>
      </c>
    </row>
    <row r="13" spans="4:24" x14ac:dyDescent="0.2">
      <c r="D13" s="1">
        <v>9</v>
      </c>
      <c r="E13" s="2">
        <v>5.1173999999999999</v>
      </c>
      <c r="F13" s="2">
        <v>4.2565</v>
      </c>
      <c r="G13" s="2">
        <v>3.8626</v>
      </c>
      <c r="H13" s="2">
        <v>3.6331000000000002</v>
      </c>
      <c r="I13" s="2">
        <v>3.4817</v>
      </c>
      <c r="J13" s="2">
        <v>3.3738000000000001</v>
      </c>
      <c r="K13" s="2">
        <v>3.2928000000000002</v>
      </c>
      <c r="L13" s="2">
        <v>3.2296</v>
      </c>
      <c r="M13" s="2">
        <v>3.1789000000000001</v>
      </c>
      <c r="N13" s="2">
        <v>3.1373000000000002</v>
      </c>
      <c r="O13" s="2">
        <v>3.1025</v>
      </c>
      <c r="P13" s="2">
        <v>3.0729000000000002</v>
      </c>
      <c r="Q13" s="2">
        <v>3.0474999999999999</v>
      </c>
      <c r="R13" s="2">
        <v>3.0255000000000001</v>
      </c>
      <c r="S13" s="2">
        <v>3.0061</v>
      </c>
      <c r="T13" s="2">
        <v>2.9889999999999999</v>
      </c>
      <c r="U13" s="2">
        <v>2.9737</v>
      </c>
      <c r="V13" s="2">
        <v>2.96</v>
      </c>
      <c r="W13" s="2">
        <v>2.9476</v>
      </c>
      <c r="X13" s="2">
        <v>2.9365000000000001</v>
      </c>
    </row>
    <row r="14" spans="4:24" x14ac:dyDescent="0.2">
      <c r="D14" s="1">
        <v>10</v>
      </c>
      <c r="E14" s="2">
        <v>4.9646999999999997</v>
      </c>
      <c r="F14" s="2">
        <v>4.1028000000000002</v>
      </c>
      <c r="G14" s="2">
        <v>3.7082999999999999</v>
      </c>
      <c r="H14" s="2">
        <v>3.4781</v>
      </c>
      <c r="I14" s="2">
        <v>3.3258000000000001</v>
      </c>
      <c r="J14" s="2">
        <v>3.2170999999999998</v>
      </c>
      <c r="K14" s="2">
        <v>3.1355</v>
      </c>
      <c r="L14" s="2">
        <v>3.0716999999999999</v>
      </c>
      <c r="M14" s="2">
        <v>3.0204</v>
      </c>
      <c r="N14" s="2">
        <v>2.9782000000000002</v>
      </c>
      <c r="O14" s="2">
        <v>2.9428999999999998</v>
      </c>
      <c r="P14" s="2">
        <v>2.9129999999999998</v>
      </c>
      <c r="Q14" s="2">
        <v>2.8872</v>
      </c>
      <c r="R14" s="2">
        <v>2.8647999999999998</v>
      </c>
      <c r="S14" s="2">
        <v>2.8450000000000002</v>
      </c>
      <c r="T14" s="2">
        <v>2.8275999999999999</v>
      </c>
      <c r="U14" s="2">
        <v>2.8119999999999998</v>
      </c>
      <c r="V14" s="2">
        <v>2.7980999999999998</v>
      </c>
      <c r="W14" s="2">
        <v>2.7854999999999999</v>
      </c>
      <c r="X14" s="2">
        <v>2.774</v>
      </c>
    </row>
    <row r="15" spans="4:24" x14ac:dyDescent="0.2">
      <c r="D15" s="1">
        <v>11</v>
      </c>
      <c r="E15" s="2">
        <v>4.8442999999999996</v>
      </c>
      <c r="F15" s="2">
        <v>3.9823</v>
      </c>
      <c r="G15" s="2">
        <v>3.5874999999999999</v>
      </c>
      <c r="H15" s="2">
        <v>3.3567</v>
      </c>
      <c r="I15" s="2">
        <v>3.2039</v>
      </c>
      <c r="J15" s="2">
        <v>3.0945999999999998</v>
      </c>
      <c r="K15" s="2">
        <v>3.0123000000000002</v>
      </c>
      <c r="L15" s="2">
        <v>2.948</v>
      </c>
      <c r="M15" s="2">
        <v>2.8961999999999999</v>
      </c>
      <c r="N15" s="2">
        <v>2.8536000000000001</v>
      </c>
      <c r="O15" s="2">
        <v>2.8178999999999998</v>
      </c>
      <c r="P15" s="2">
        <v>2.7875999999999999</v>
      </c>
      <c r="Q15" s="2">
        <v>2.7614000000000001</v>
      </c>
      <c r="R15" s="2">
        <v>2.7385999999999999</v>
      </c>
      <c r="S15" s="2">
        <v>2.7185999999999999</v>
      </c>
      <c r="T15" s="2">
        <v>2.7008999999999999</v>
      </c>
      <c r="U15" s="2">
        <v>2.6850999999999998</v>
      </c>
      <c r="V15" s="2">
        <v>2.6709000000000001</v>
      </c>
      <c r="W15" s="2">
        <v>2.6581000000000001</v>
      </c>
      <c r="X15" s="2">
        <v>2.6463999999999999</v>
      </c>
    </row>
    <row r="16" spans="4:24" x14ac:dyDescent="0.2">
      <c r="D16" s="1">
        <v>12</v>
      </c>
      <c r="E16" s="2">
        <v>4.7472000000000003</v>
      </c>
      <c r="F16" s="2">
        <v>3.8853</v>
      </c>
      <c r="G16" s="2">
        <v>3.4903</v>
      </c>
      <c r="H16" s="2">
        <v>3.2591999999999999</v>
      </c>
      <c r="I16" s="2">
        <v>3.1059000000000001</v>
      </c>
      <c r="J16" s="2">
        <v>2.9961000000000002</v>
      </c>
      <c r="K16" s="2">
        <v>2.9134000000000002</v>
      </c>
      <c r="L16" s="2">
        <v>2.8485999999999998</v>
      </c>
      <c r="M16" s="2">
        <v>2.7964000000000002</v>
      </c>
      <c r="N16" s="2">
        <v>2.7534000000000001</v>
      </c>
      <c r="O16" s="2">
        <v>2.7172999999999998</v>
      </c>
      <c r="P16" s="2">
        <v>2.6865999999999999</v>
      </c>
      <c r="Q16" s="2">
        <v>2.6602000000000001</v>
      </c>
      <c r="R16" s="2">
        <v>2.6371000000000002</v>
      </c>
      <c r="S16" s="2">
        <v>2.6168999999999998</v>
      </c>
      <c r="T16" s="2">
        <v>2.5989</v>
      </c>
      <c r="U16" s="2">
        <v>2.5828000000000002</v>
      </c>
      <c r="V16" s="2">
        <v>2.5684</v>
      </c>
      <c r="W16" s="2">
        <v>2.5554000000000001</v>
      </c>
      <c r="X16" s="2">
        <v>2.5436000000000001</v>
      </c>
    </row>
    <row r="17" spans="4:24" x14ac:dyDescent="0.2">
      <c r="D17" s="1">
        <v>13</v>
      </c>
      <c r="E17" s="2">
        <v>4.6672000000000002</v>
      </c>
      <c r="F17" s="2">
        <v>3.8054999999999999</v>
      </c>
      <c r="G17" s="2">
        <v>3.4106000000000001</v>
      </c>
      <c r="H17" s="2">
        <v>3.1791</v>
      </c>
      <c r="I17" s="2">
        <v>3.0255000000000001</v>
      </c>
      <c r="J17" s="2">
        <v>2.9152999999999998</v>
      </c>
      <c r="K17" s="2">
        <v>2.8321000000000001</v>
      </c>
      <c r="L17" s="2">
        <v>2.7669000000000001</v>
      </c>
      <c r="M17" s="2">
        <v>2.7143999999999999</v>
      </c>
      <c r="N17" s="2">
        <v>2.6711</v>
      </c>
      <c r="O17" s="2">
        <v>2.6347</v>
      </c>
      <c r="P17" s="2">
        <v>2.6036999999999999</v>
      </c>
      <c r="Q17" s="2">
        <v>2.5769000000000002</v>
      </c>
      <c r="R17" s="2">
        <v>2.5535999999999999</v>
      </c>
      <c r="S17" s="2">
        <v>2.5331000000000001</v>
      </c>
      <c r="T17" s="2">
        <v>2.5148999999999999</v>
      </c>
      <c r="U17" s="2">
        <v>2.4986999999999999</v>
      </c>
      <c r="V17" s="2">
        <v>2.4841000000000002</v>
      </c>
      <c r="W17" s="2">
        <v>2.4708999999999999</v>
      </c>
      <c r="X17" s="2">
        <v>2.4588999999999999</v>
      </c>
    </row>
    <row r="18" spans="4:24" x14ac:dyDescent="0.2">
      <c r="D18" s="1">
        <v>14</v>
      </c>
      <c r="E18" s="2">
        <v>4.6001000000000003</v>
      </c>
      <c r="F18" s="2">
        <v>3.7389000000000001</v>
      </c>
      <c r="G18" s="2">
        <v>3.3439000000000001</v>
      </c>
      <c r="H18" s="2">
        <v>3.1122000000000001</v>
      </c>
      <c r="I18" s="2">
        <v>2.9582000000000002</v>
      </c>
      <c r="J18" s="2">
        <v>2.8477000000000001</v>
      </c>
      <c r="K18" s="2">
        <v>2.7642000000000002</v>
      </c>
      <c r="L18" s="2">
        <v>2.6987000000000001</v>
      </c>
      <c r="M18" s="2">
        <v>2.6457999999999999</v>
      </c>
      <c r="N18" s="2">
        <v>2.6021000000000001</v>
      </c>
      <c r="O18" s="2">
        <v>2.5655000000000001</v>
      </c>
      <c r="P18" s="2">
        <v>2.5343</v>
      </c>
      <c r="Q18" s="2">
        <v>2.5072999999999999</v>
      </c>
      <c r="R18" s="2">
        <v>2.4836999999999998</v>
      </c>
      <c r="S18" s="2">
        <v>2.4630000000000001</v>
      </c>
      <c r="T18" s="2">
        <v>2.4445999999999999</v>
      </c>
      <c r="U18" s="2">
        <v>2.4281999999999999</v>
      </c>
      <c r="V18" s="2">
        <v>2.4134000000000002</v>
      </c>
      <c r="W18" s="2">
        <v>2.4</v>
      </c>
      <c r="X18" s="2">
        <v>2.3879000000000001</v>
      </c>
    </row>
    <row r="19" spans="4:24" x14ac:dyDescent="0.2">
      <c r="D19" s="1">
        <v>15</v>
      </c>
      <c r="E19" s="2">
        <v>4.5430000000000001</v>
      </c>
      <c r="F19" s="2">
        <v>3.6823999999999999</v>
      </c>
      <c r="G19" s="2">
        <v>3.2873999999999999</v>
      </c>
      <c r="H19" s="2">
        <v>3.0554999999999999</v>
      </c>
      <c r="I19" s="2">
        <v>2.9013</v>
      </c>
      <c r="J19" s="2">
        <v>2.7905000000000002</v>
      </c>
      <c r="K19" s="2">
        <v>2.7065999999999999</v>
      </c>
      <c r="L19" s="2">
        <v>2.6408</v>
      </c>
      <c r="M19" s="2">
        <v>2.5876999999999999</v>
      </c>
      <c r="N19" s="2">
        <v>2.5436999999999999</v>
      </c>
      <c r="O19" s="2">
        <v>2.5068000000000001</v>
      </c>
      <c r="P19" s="2">
        <v>2.4752999999999998</v>
      </c>
      <c r="Q19" s="2">
        <v>2.4481000000000002</v>
      </c>
      <c r="R19" s="2">
        <v>2.4243999999999999</v>
      </c>
      <c r="S19" s="2">
        <v>2.4034</v>
      </c>
      <c r="T19" s="2">
        <v>2.3849</v>
      </c>
      <c r="U19" s="2">
        <v>2.3683000000000001</v>
      </c>
      <c r="V19" s="2">
        <v>2.3532999999999999</v>
      </c>
      <c r="W19" s="2">
        <v>2.3397999999999999</v>
      </c>
      <c r="X19" s="2">
        <v>2.3275000000000001</v>
      </c>
    </row>
    <row r="20" spans="4:24" x14ac:dyDescent="0.2">
      <c r="D20" s="1">
        <v>16</v>
      </c>
      <c r="E20" s="2">
        <v>4.4939999999999998</v>
      </c>
      <c r="F20" s="2">
        <v>3.6337000000000002</v>
      </c>
      <c r="G20" s="2">
        <v>3.2389000000000001</v>
      </c>
      <c r="H20" s="2">
        <v>3.0068999999999999</v>
      </c>
      <c r="I20" s="2">
        <v>2.8523999999999998</v>
      </c>
      <c r="J20" s="2">
        <v>2.7412999999999998</v>
      </c>
      <c r="K20" s="2">
        <v>2.6572</v>
      </c>
      <c r="L20" s="2">
        <v>2.5911</v>
      </c>
      <c r="M20" s="2">
        <v>2.5377000000000001</v>
      </c>
      <c r="N20" s="2">
        <v>2.4935</v>
      </c>
      <c r="O20" s="2">
        <v>2.4563999999999999</v>
      </c>
      <c r="P20" s="2">
        <v>2.4247000000000001</v>
      </c>
      <c r="Q20" s="2">
        <v>2.3973</v>
      </c>
      <c r="R20" s="2">
        <v>2.3733</v>
      </c>
      <c r="S20" s="2">
        <v>2.3521999999999998</v>
      </c>
      <c r="T20" s="2">
        <v>2.3334999999999999</v>
      </c>
      <c r="U20" s="2">
        <v>2.3167</v>
      </c>
      <c r="V20" s="2">
        <v>2.3016000000000001</v>
      </c>
      <c r="W20" s="2">
        <v>2.2879999999999998</v>
      </c>
      <c r="X20" s="2">
        <v>2.2755999999999998</v>
      </c>
    </row>
    <row r="21" spans="4:24" x14ac:dyDescent="0.2">
      <c r="D21" s="1">
        <v>17</v>
      </c>
      <c r="E21" s="2">
        <v>4.4512999999999998</v>
      </c>
      <c r="F21" s="2">
        <v>3.5916000000000001</v>
      </c>
      <c r="G21" s="2">
        <v>3.1968000000000001</v>
      </c>
      <c r="H21" s="2">
        <v>2.9647000000000001</v>
      </c>
      <c r="I21" s="2">
        <v>2.81</v>
      </c>
      <c r="J21" s="2">
        <v>2.6987000000000001</v>
      </c>
      <c r="K21" s="2">
        <v>2.6143000000000001</v>
      </c>
      <c r="L21" s="2">
        <v>2.548</v>
      </c>
      <c r="M21" s="2">
        <v>2.4943</v>
      </c>
      <c r="N21" s="2">
        <v>2.4499</v>
      </c>
      <c r="O21" s="2">
        <v>2.4125999999999999</v>
      </c>
      <c r="P21" s="2">
        <v>2.3807</v>
      </c>
      <c r="Q21" s="2">
        <v>2.3531</v>
      </c>
      <c r="R21" s="2">
        <v>2.3290000000000002</v>
      </c>
      <c r="S21" s="2">
        <v>2.3077000000000001</v>
      </c>
      <c r="T21" s="2">
        <v>2.2888000000000002</v>
      </c>
      <c r="U21" s="2">
        <v>2.2719</v>
      </c>
      <c r="V21" s="2">
        <v>2.2566999999999999</v>
      </c>
      <c r="W21" s="2">
        <v>2.2429000000000001</v>
      </c>
      <c r="X21" s="2">
        <v>2.2303000000000002</v>
      </c>
    </row>
    <row r="22" spans="4:24" x14ac:dyDescent="0.2">
      <c r="D22" s="1">
        <v>18</v>
      </c>
      <c r="E22" s="2">
        <v>4.4138999999999999</v>
      </c>
      <c r="F22" s="2">
        <v>3.5546000000000002</v>
      </c>
      <c r="G22" s="2">
        <v>3.1598999999999999</v>
      </c>
      <c r="H22" s="2">
        <v>2.9278</v>
      </c>
      <c r="I22" s="2">
        <v>2.7728999999999999</v>
      </c>
      <c r="J22" s="2">
        <v>2.6613000000000002</v>
      </c>
      <c r="K22" s="2">
        <v>2.5767000000000002</v>
      </c>
      <c r="L22" s="2">
        <v>2.5102000000000002</v>
      </c>
      <c r="M22" s="2">
        <v>2.4563000000000001</v>
      </c>
      <c r="N22" s="2">
        <v>2.4117000000000002</v>
      </c>
      <c r="O22" s="2">
        <v>2.3742000000000001</v>
      </c>
      <c r="P22" s="2">
        <v>2.3420999999999998</v>
      </c>
      <c r="Q22" s="2">
        <v>2.3142999999999998</v>
      </c>
      <c r="R22" s="2">
        <v>2.29</v>
      </c>
      <c r="S22" s="2">
        <v>2.2686000000000002</v>
      </c>
      <c r="T22" s="2">
        <v>2.2496</v>
      </c>
      <c r="U22" s="2">
        <v>2.2324999999999999</v>
      </c>
      <c r="V22" s="2">
        <v>2.2172000000000001</v>
      </c>
      <c r="W22" s="2">
        <v>2.2033</v>
      </c>
      <c r="X22" s="2">
        <v>2.1905999999999999</v>
      </c>
    </row>
    <row r="23" spans="4:24" x14ac:dyDescent="0.2">
      <c r="D23" s="1">
        <v>19</v>
      </c>
      <c r="E23" s="2">
        <v>4.3807999999999998</v>
      </c>
      <c r="F23" s="2">
        <v>3.5219</v>
      </c>
      <c r="G23" s="2">
        <v>3.1274000000000002</v>
      </c>
      <c r="H23" s="2">
        <v>2.8950999999999998</v>
      </c>
      <c r="I23" s="2">
        <v>2.7401</v>
      </c>
      <c r="J23" s="2">
        <v>2.6282999999999999</v>
      </c>
      <c r="K23" s="2">
        <v>2.5434999999999999</v>
      </c>
      <c r="L23" s="2">
        <v>2.4767999999999999</v>
      </c>
      <c r="M23" s="2">
        <v>2.4226999999999999</v>
      </c>
      <c r="N23" s="2">
        <v>2.3780000000000001</v>
      </c>
      <c r="O23" s="2">
        <v>2.3401999999999998</v>
      </c>
      <c r="P23" s="2">
        <v>2.3079999999999998</v>
      </c>
      <c r="Q23" s="2">
        <v>2.2799999999999998</v>
      </c>
      <c r="R23" s="2">
        <v>2.2555999999999998</v>
      </c>
      <c r="S23" s="2">
        <v>2.2341000000000002</v>
      </c>
      <c r="T23" s="2">
        <v>2.2149000000000001</v>
      </c>
      <c r="U23" s="2">
        <v>2.1977000000000002</v>
      </c>
      <c r="V23" s="2">
        <v>2.1823000000000001</v>
      </c>
      <c r="W23" s="2">
        <v>2.1682999999999999</v>
      </c>
      <c r="X23" s="2">
        <v>2.1555</v>
      </c>
    </row>
    <row r="24" spans="4:24" x14ac:dyDescent="0.2">
      <c r="D24" s="1">
        <v>20</v>
      </c>
      <c r="E24" s="2">
        <v>4.3512000000000004</v>
      </c>
      <c r="F24" s="2">
        <v>3.4927999999999999</v>
      </c>
      <c r="G24" s="2">
        <v>3.0983999999999998</v>
      </c>
      <c r="H24" s="2">
        <v>2.8660999999999999</v>
      </c>
      <c r="I24" s="2">
        <v>2.7109000000000001</v>
      </c>
      <c r="J24" s="2">
        <v>2.5990000000000002</v>
      </c>
      <c r="K24" s="2">
        <v>2.5139999999999998</v>
      </c>
      <c r="L24" s="2">
        <v>2.4470999999999998</v>
      </c>
      <c r="M24" s="2">
        <v>2.3927999999999998</v>
      </c>
      <c r="N24" s="2">
        <v>2.3479000000000001</v>
      </c>
      <c r="O24" s="2">
        <v>2.31</v>
      </c>
      <c r="P24" s="2">
        <v>2.2776000000000001</v>
      </c>
      <c r="Q24" s="2">
        <v>2.2494999999999998</v>
      </c>
      <c r="R24" s="2">
        <v>2.2248999999999999</v>
      </c>
      <c r="S24" s="2">
        <v>2.2033</v>
      </c>
      <c r="T24" s="2">
        <v>2.1840000000000002</v>
      </c>
      <c r="U24" s="2">
        <v>2.1667000000000001</v>
      </c>
      <c r="V24" s="2">
        <v>2.1511</v>
      </c>
      <c r="W24" s="2">
        <v>2.137</v>
      </c>
      <c r="X24" s="2">
        <v>2.1242000000000001</v>
      </c>
    </row>
  </sheetData>
  <sheetProtection algorithmName="SHA-512" hashValue="6DC/zsc0MUERUQkd8NNSwljr6Lb4tSmTbfJM7QOEEHl22fpZ748Lr6DpkolbOPEjSuqOOw5u0furm0UXyXA+RQ==" saltValue="uN816VMX1VeVau4mnTXX+Q==" spinCount="100000" sheet="1" objects="1" scenarios="1"/>
  <customSheetViews>
    <customSheetView guid="{373B6099-BBFB-4C6F-8508-763C02BEB895}">
      <selection activeCell="N6" sqref="N6"/>
      <pageMargins left="0.7" right="0.7" top="0.75" bottom="0.75" header="0.3" footer="0.3"/>
      <headerFooter alignWithMargins="0"/>
    </customSheetView>
  </customSheetViews>
  <phoneticPr fontId="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X226"/>
  <sheetViews>
    <sheetView topLeftCell="A10" workbookViewId="0">
      <selection activeCell="C26" sqref="C26"/>
    </sheetView>
  </sheetViews>
  <sheetFormatPr defaultColWidth="8.85546875" defaultRowHeight="12.75" x14ac:dyDescent="0.2"/>
  <sheetData>
    <row r="5" spans="4:24" x14ac:dyDescent="0.2">
      <c r="D5" s="1" t="s">
        <v>15</v>
      </c>
      <c r="E5" s="1">
        <v>1</v>
      </c>
      <c r="F5" s="1">
        <v>2</v>
      </c>
      <c r="G5" s="1">
        <v>3</v>
      </c>
      <c r="H5" s="1">
        <v>4</v>
      </c>
      <c r="I5" s="1">
        <v>5</v>
      </c>
      <c r="J5" s="1">
        <v>6</v>
      </c>
      <c r="K5" s="1">
        <v>7</v>
      </c>
      <c r="L5" s="1">
        <v>8</v>
      </c>
      <c r="M5" s="1">
        <v>9</v>
      </c>
      <c r="N5" s="1">
        <v>10</v>
      </c>
      <c r="O5" s="1">
        <v>11</v>
      </c>
      <c r="P5" s="1">
        <v>12</v>
      </c>
      <c r="Q5" s="1">
        <v>13</v>
      </c>
      <c r="R5" s="1">
        <v>14</v>
      </c>
      <c r="S5" s="1">
        <v>15</v>
      </c>
      <c r="T5" s="1">
        <v>16</v>
      </c>
      <c r="U5" s="1">
        <v>17</v>
      </c>
      <c r="V5" s="1">
        <v>18</v>
      </c>
      <c r="W5" s="1">
        <v>19</v>
      </c>
      <c r="X5" s="1">
        <v>20</v>
      </c>
    </row>
    <row r="6" spans="4:24" x14ac:dyDescent="0.2">
      <c r="D6" s="1" t="s">
        <v>16</v>
      </c>
      <c r="E6" s="1" t="s">
        <v>17</v>
      </c>
      <c r="F6" s="1"/>
      <c r="G6" s="1"/>
      <c r="H6" s="1"/>
      <c r="I6" s="1"/>
      <c r="J6" s="1"/>
      <c r="K6" s="1"/>
      <c r="L6" s="1"/>
      <c r="M6" s="1"/>
      <c r="N6" s="1"/>
      <c r="O6" s="1"/>
      <c r="P6" s="1"/>
      <c r="Q6" s="1"/>
      <c r="R6" s="1"/>
      <c r="S6" s="1"/>
      <c r="T6" s="1"/>
      <c r="U6" s="1"/>
      <c r="V6" s="1"/>
      <c r="W6" s="1"/>
      <c r="X6" s="1"/>
    </row>
    <row r="7" spans="4:24" x14ac:dyDescent="0.2">
      <c r="D7" s="1">
        <v>1</v>
      </c>
      <c r="E7" s="2">
        <v>161.46899999999999</v>
      </c>
      <c r="F7" s="2">
        <v>199.49299999999999</v>
      </c>
      <c r="G7" s="2">
        <v>215.73699999999999</v>
      </c>
      <c r="H7" s="2">
        <v>224.5</v>
      </c>
      <c r="I7" s="2">
        <v>230.066</v>
      </c>
      <c r="J7" s="2">
        <v>234.001</v>
      </c>
      <c r="K7" s="2">
        <v>236.77199999999999</v>
      </c>
      <c r="L7" s="2">
        <v>238.94900000000001</v>
      </c>
      <c r="M7" s="2">
        <v>240.49600000000001</v>
      </c>
      <c r="N7" s="2">
        <v>241.83799999999999</v>
      </c>
      <c r="O7" s="2">
        <v>242.96799999999999</v>
      </c>
      <c r="P7" s="2">
        <v>243.88</v>
      </c>
      <c r="Q7" s="2">
        <v>244.798</v>
      </c>
      <c r="R7" s="2">
        <v>245.26</v>
      </c>
      <c r="S7" s="2">
        <v>245.95599999999999</v>
      </c>
      <c r="T7" s="2">
        <v>246.422</v>
      </c>
      <c r="U7" s="2">
        <v>246.89</v>
      </c>
      <c r="V7" s="2">
        <v>247.36</v>
      </c>
      <c r="W7" s="2">
        <v>247.596</v>
      </c>
      <c r="X7" s="2">
        <v>248.06800000000001</v>
      </c>
    </row>
    <row r="8" spans="4:24" x14ac:dyDescent="0.2">
      <c r="D8" s="1">
        <v>2</v>
      </c>
      <c r="E8" s="2">
        <v>18.512799999999999</v>
      </c>
      <c r="F8" s="2">
        <v>18.999500000000001</v>
      </c>
      <c r="G8" s="2">
        <v>19.164200000000001</v>
      </c>
      <c r="H8" s="2">
        <v>19.246700000000001</v>
      </c>
      <c r="I8" s="2">
        <v>19.296900000000001</v>
      </c>
      <c r="J8" s="2">
        <v>19.329899999999999</v>
      </c>
      <c r="K8" s="2">
        <v>19.3536</v>
      </c>
      <c r="L8" s="2">
        <v>19.370999999999999</v>
      </c>
      <c r="M8" s="2">
        <v>19.385200000000001</v>
      </c>
      <c r="N8" s="2">
        <v>19.3963</v>
      </c>
      <c r="O8" s="2">
        <v>19.404299999999999</v>
      </c>
      <c r="P8" s="2">
        <v>19.412199999999999</v>
      </c>
      <c r="Q8" s="2">
        <v>19.418600000000001</v>
      </c>
      <c r="R8" s="2">
        <v>19.425000000000001</v>
      </c>
      <c r="S8" s="2">
        <v>19.4297</v>
      </c>
      <c r="T8" s="2">
        <v>19.4329</v>
      </c>
      <c r="U8" s="2">
        <v>19.4377</v>
      </c>
      <c r="V8" s="2">
        <v>19.440899999999999</v>
      </c>
      <c r="W8" s="2">
        <v>19.442499999999999</v>
      </c>
      <c r="X8" s="2">
        <v>19.445699999999999</v>
      </c>
    </row>
    <row r="9" spans="4:24" x14ac:dyDescent="0.2">
      <c r="D9" s="1">
        <v>3</v>
      </c>
      <c r="E9" s="2">
        <v>10.127800000000001</v>
      </c>
      <c r="F9" s="2">
        <v>9.5521999999999991</v>
      </c>
      <c r="G9" s="2">
        <v>9.2766999999999999</v>
      </c>
      <c r="H9" s="2">
        <v>9.1173000000000002</v>
      </c>
      <c r="I9" s="2">
        <v>9.0132999999999992</v>
      </c>
      <c r="J9" s="2">
        <v>8.9407999999999994</v>
      </c>
      <c r="K9" s="2">
        <v>8.8867999999999991</v>
      </c>
      <c r="L9" s="2">
        <v>8.8452000000000002</v>
      </c>
      <c r="M9" s="2">
        <v>8.8124000000000002</v>
      </c>
      <c r="N9" s="2">
        <v>8.7857000000000003</v>
      </c>
      <c r="O9" s="2">
        <v>8.7635000000000005</v>
      </c>
      <c r="P9" s="2">
        <v>8.7446000000000002</v>
      </c>
      <c r="Q9" s="2">
        <v>8.7286999999999999</v>
      </c>
      <c r="R9" s="2">
        <v>8.7149999999999999</v>
      </c>
      <c r="S9" s="2">
        <v>8.7027999999999999</v>
      </c>
      <c r="T9" s="2">
        <v>8.6922999999999995</v>
      </c>
      <c r="U9" s="2">
        <v>8.6829999999999998</v>
      </c>
      <c r="V9" s="2">
        <v>8.6745000000000001</v>
      </c>
      <c r="W9" s="2">
        <v>8.6669999999999998</v>
      </c>
      <c r="X9" s="2">
        <v>8.6601999999999997</v>
      </c>
    </row>
    <row r="10" spans="4:24" x14ac:dyDescent="0.2">
      <c r="D10" s="1">
        <v>4</v>
      </c>
      <c r="E10" s="2">
        <v>7.7087000000000003</v>
      </c>
      <c r="F10" s="2">
        <v>6.9443999999999999</v>
      </c>
      <c r="G10" s="2">
        <v>6.5914999999999999</v>
      </c>
      <c r="H10" s="2">
        <v>6.3882000000000003</v>
      </c>
      <c r="I10" s="2">
        <v>6.2561</v>
      </c>
      <c r="J10" s="2">
        <v>6.1631</v>
      </c>
      <c r="K10" s="2">
        <v>6.0942999999999996</v>
      </c>
      <c r="L10" s="2">
        <v>6.0411000000000001</v>
      </c>
      <c r="M10" s="2">
        <v>5.9988000000000001</v>
      </c>
      <c r="N10" s="2">
        <v>5.9644000000000004</v>
      </c>
      <c r="O10" s="2">
        <v>5.9359000000000002</v>
      </c>
      <c r="P10" s="2">
        <v>5.9116999999999997</v>
      </c>
      <c r="Q10" s="2">
        <v>5.8912000000000004</v>
      </c>
      <c r="R10" s="2">
        <v>5.8733000000000004</v>
      </c>
      <c r="S10" s="2">
        <v>5.8578000000000001</v>
      </c>
      <c r="T10" s="2">
        <v>5.8440000000000003</v>
      </c>
      <c r="U10" s="2">
        <v>5.8319000000000001</v>
      </c>
      <c r="V10" s="2">
        <v>5.8211000000000004</v>
      </c>
      <c r="W10" s="2">
        <v>5.8113000000000001</v>
      </c>
      <c r="X10" s="2">
        <v>5.8025000000000002</v>
      </c>
    </row>
    <row r="11" spans="4:24" x14ac:dyDescent="0.2">
      <c r="D11" s="1">
        <v>5</v>
      </c>
      <c r="E11" s="2">
        <v>6.6079999999999997</v>
      </c>
      <c r="F11" s="2">
        <v>5.7861000000000002</v>
      </c>
      <c r="G11" s="2">
        <v>5.4095000000000004</v>
      </c>
      <c r="H11" s="2">
        <v>5.1921999999999997</v>
      </c>
      <c r="I11" s="2">
        <v>5.0503</v>
      </c>
      <c r="J11" s="2">
        <v>4.9503000000000004</v>
      </c>
      <c r="K11" s="2">
        <v>4.8758999999999997</v>
      </c>
      <c r="L11" s="2">
        <v>4.8183999999999996</v>
      </c>
      <c r="M11" s="2">
        <v>4.7725</v>
      </c>
      <c r="N11" s="2">
        <v>4.7350000000000003</v>
      </c>
      <c r="O11" s="2">
        <v>4.7039</v>
      </c>
      <c r="P11" s="2">
        <v>4.6776999999999997</v>
      </c>
      <c r="Q11" s="2">
        <v>4.6551999999999998</v>
      </c>
      <c r="R11" s="2">
        <v>4.6357999999999997</v>
      </c>
      <c r="S11" s="2">
        <v>4.6186999999999996</v>
      </c>
      <c r="T11" s="2">
        <v>4.6037999999999997</v>
      </c>
      <c r="U11" s="2">
        <v>4.5903999999999998</v>
      </c>
      <c r="V11" s="2">
        <v>4.5785</v>
      </c>
      <c r="W11" s="2">
        <v>4.5678999999999998</v>
      </c>
      <c r="X11" s="2">
        <v>4.5580999999999996</v>
      </c>
    </row>
    <row r="12" spans="4:24" x14ac:dyDescent="0.2">
      <c r="D12" s="1">
        <v>6</v>
      </c>
      <c r="E12" s="2">
        <v>5.9874000000000001</v>
      </c>
      <c r="F12" s="2">
        <v>5.1433</v>
      </c>
      <c r="G12" s="2">
        <v>4.7569999999999997</v>
      </c>
      <c r="H12" s="2">
        <v>4.5336999999999996</v>
      </c>
      <c r="I12" s="2">
        <v>4.3874000000000004</v>
      </c>
      <c r="J12" s="2">
        <v>4.2838000000000003</v>
      </c>
      <c r="K12" s="2">
        <v>4.2066999999999997</v>
      </c>
      <c r="L12" s="2">
        <v>4.1467999999999998</v>
      </c>
      <c r="M12" s="2">
        <v>4.0990000000000002</v>
      </c>
      <c r="N12" s="2">
        <v>4.0599999999999996</v>
      </c>
      <c r="O12" s="2">
        <v>4.0274999999999999</v>
      </c>
      <c r="P12" s="2">
        <v>3.9998999999999998</v>
      </c>
      <c r="Q12" s="2">
        <v>3.9763999999999999</v>
      </c>
      <c r="R12" s="2">
        <v>3.956</v>
      </c>
      <c r="S12" s="2">
        <v>3.9380999999999999</v>
      </c>
      <c r="T12" s="2">
        <v>3.9222999999999999</v>
      </c>
      <c r="U12" s="2">
        <v>3.9083000000000001</v>
      </c>
      <c r="V12" s="2">
        <v>3.8957000000000002</v>
      </c>
      <c r="W12" s="2">
        <v>3.8843999999999999</v>
      </c>
      <c r="X12" s="2">
        <v>3.8742000000000001</v>
      </c>
    </row>
    <row r="13" spans="4:24" x14ac:dyDescent="0.2">
      <c r="D13" s="1">
        <v>7</v>
      </c>
      <c r="E13" s="2">
        <v>5.5914000000000001</v>
      </c>
      <c r="F13" s="2">
        <v>4.7374000000000001</v>
      </c>
      <c r="G13" s="2">
        <v>4.3468999999999998</v>
      </c>
      <c r="H13" s="2">
        <v>4.1204000000000001</v>
      </c>
      <c r="I13" s="2">
        <v>3.9714999999999998</v>
      </c>
      <c r="J13" s="2">
        <v>3.8660000000000001</v>
      </c>
      <c r="K13" s="2">
        <v>3.7869999999999999</v>
      </c>
      <c r="L13" s="2">
        <v>3.7256999999999998</v>
      </c>
      <c r="M13" s="2">
        <v>3.6766999999999999</v>
      </c>
      <c r="N13" s="2">
        <v>3.6366000000000001</v>
      </c>
      <c r="O13" s="2">
        <v>3.6030000000000002</v>
      </c>
      <c r="P13" s="2">
        <v>3.5747</v>
      </c>
      <c r="Q13" s="2">
        <v>3.5503999999999998</v>
      </c>
      <c r="R13" s="2">
        <v>3.5291999999999999</v>
      </c>
      <c r="S13" s="2">
        <v>3.5106999999999999</v>
      </c>
      <c r="T13" s="2">
        <v>3.4944000000000002</v>
      </c>
      <c r="U13" s="2">
        <v>3.4799000000000002</v>
      </c>
      <c r="V13" s="2">
        <v>3.4668999999999999</v>
      </c>
      <c r="W13" s="2">
        <v>3.4552</v>
      </c>
      <c r="X13" s="2">
        <v>3.4445000000000001</v>
      </c>
    </row>
    <row r="14" spans="4:24" x14ac:dyDescent="0.2">
      <c r="D14" s="1">
        <v>8</v>
      </c>
      <c r="E14" s="2">
        <v>5.3177000000000003</v>
      </c>
      <c r="F14" s="2">
        <v>4.4589999999999996</v>
      </c>
      <c r="G14" s="2">
        <v>4.0662000000000003</v>
      </c>
      <c r="H14" s="2">
        <v>3.8378000000000001</v>
      </c>
      <c r="I14" s="2">
        <v>3.6875</v>
      </c>
      <c r="J14" s="2">
        <v>3.5806</v>
      </c>
      <c r="K14" s="2">
        <v>3.5004</v>
      </c>
      <c r="L14" s="2">
        <v>3.4380999999999999</v>
      </c>
      <c r="M14" s="2">
        <v>3.3881000000000001</v>
      </c>
      <c r="N14" s="2">
        <v>3.3472</v>
      </c>
      <c r="O14" s="2">
        <v>3.3130000000000002</v>
      </c>
      <c r="P14" s="2">
        <v>3.2839</v>
      </c>
      <c r="Q14" s="2">
        <v>3.2589999999999999</v>
      </c>
      <c r="R14" s="2">
        <v>3.2374000000000001</v>
      </c>
      <c r="S14" s="2">
        <v>3.2183999999999999</v>
      </c>
      <c r="T14" s="2">
        <v>3.2017000000000002</v>
      </c>
      <c r="U14" s="2">
        <v>3.1867000000000001</v>
      </c>
      <c r="V14" s="2">
        <v>3.1732999999999998</v>
      </c>
      <c r="W14" s="2">
        <v>3.1613000000000002</v>
      </c>
      <c r="X14" s="2">
        <v>3.1503000000000001</v>
      </c>
    </row>
    <row r="15" spans="4:24" x14ac:dyDescent="0.2">
      <c r="D15" s="1">
        <v>9</v>
      </c>
      <c r="E15" s="2">
        <v>5.1173999999999999</v>
      </c>
      <c r="F15" s="2">
        <v>4.2565</v>
      </c>
      <c r="G15" s="2">
        <v>3.8626</v>
      </c>
      <c r="H15" s="2">
        <v>3.6331000000000002</v>
      </c>
      <c r="I15" s="2">
        <v>3.4817</v>
      </c>
      <c r="J15" s="2">
        <v>3.3738000000000001</v>
      </c>
      <c r="K15" s="2">
        <v>3.2928000000000002</v>
      </c>
      <c r="L15" s="2">
        <v>3.2296</v>
      </c>
      <c r="M15" s="2">
        <v>3.1789000000000001</v>
      </c>
      <c r="N15" s="2">
        <v>3.1373000000000002</v>
      </c>
      <c r="O15" s="2">
        <v>3.1025</v>
      </c>
      <c r="P15" s="2">
        <v>3.0729000000000002</v>
      </c>
      <c r="Q15" s="2">
        <v>3.0474999999999999</v>
      </c>
      <c r="R15" s="2">
        <v>3.0255000000000001</v>
      </c>
      <c r="S15" s="2">
        <v>3.0061</v>
      </c>
      <c r="T15" s="2">
        <v>2.9889999999999999</v>
      </c>
      <c r="U15" s="2">
        <v>2.9737</v>
      </c>
      <c r="V15" s="2">
        <v>2.96</v>
      </c>
      <c r="W15" s="2">
        <v>2.9476</v>
      </c>
      <c r="X15" s="2">
        <v>2.9365000000000001</v>
      </c>
    </row>
    <row r="16" spans="4:24" x14ac:dyDescent="0.2">
      <c r="D16" s="1">
        <v>10</v>
      </c>
      <c r="E16" s="2">
        <v>4.9646999999999997</v>
      </c>
      <c r="F16" s="2">
        <v>4.1028000000000002</v>
      </c>
      <c r="G16" s="2">
        <v>3.7082999999999999</v>
      </c>
      <c r="H16" s="2">
        <v>3.4781</v>
      </c>
      <c r="I16" s="2">
        <v>3.3258000000000001</v>
      </c>
      <c r="J16" s="2">
        <v>3.2170999999999998</v>
      </c>
      <c r="K16" s="2">
        <v>3.1355</v>
      </c>
      <c r="L16" s="2">
        <v>3.0716999999999999</v>
      </c>
      <c r="M16" s="2">
        <v>3.0204</v>
      </c>
      <c r="N16" s="2">
        <v>2.9782000000000002</v>
      </c>
      <c r="O16" s="2">
        <v>2.9428999999999998</v>
      </c>
      <c r="P16" s="2">
        <v>2.9129999999999998</v>
      </c>
      <c r="Q16" s="2">
        <v>2.8872</v>
      </c>
      <c r="R16" s="2">
        <v>2.8647999999999998</v>
      </c>
      <c r="S16" s="2">
        <v>2.8450000000000002</v>
      </c>
      <c r="T16" s="2">
        <v>2.8275999999999999</v>
      </c>
      <c r="U16" s="2">
        <v>2.8119999999999998</v>
      </c>
      <c r="V16" s="2">
        <v>2.7980999999999998</v>
      </c>
      <c r="W16" s="2">
        <v>2.7854999999999999</v>
      </c>
      <c r="X16" s="2">
        <v>2.774</v>
      </c>
    </row>
    <row r="17" spans="2:24" ht="13.5" thickBot="1" x14ac:dyDescent="0.25">
      <c r="D17" s="1">
        <v>11</v>
      </c>
      <c r="E17" s="2">
        <v>4.8442999999999996</v>
      </c>
      <c r="F17" s="2">
        <v>3.9823</v>
      </c>
      <c r="G17" s="2">
        <v>3.5874999999999999</v>
      </c>
      <c r="H17" s="2">
        <v>3.3567</v>
      </c>
      <c r="I17" s="2">
        <v>3.2039</v>
      </c>
      <c r="J17" s="2">
        <v>3.0945999999999998</v>
      </c>
      <c r="K17" s="2">
        <v>3.0123000000000002</v>
      </c>
      <c r="L17" s="2">
        <v>2.948</v>
      </c>
      <c r="M17" s="2">
        <v>2.8961999999999999</v>
      </c>
      <c r="N17" s="2">
        <v>2.8536000000000001</v>
      </c>
      <c r="O17" s="2">
        <v>2.8178999999999998</v>
      </c>
      <c r="P17" s="2">
        <v>2.7875999999999999</v>
      </c>
      <c r="Q17" s="2">
        <v>2.7614000000000001</v>
      </c>
      <c r="R17" s="2">
        <v>2.7385999999999999</v>
      </c>
      <c r="S17" s="2">
        <v>2.7185999999999999</v>
      </c>
      <c r="T17" s="2">
        <v>2.7008999999999999</v>
      </c>
      <c r="U17" s="2">
        <v>2.6850999999999998</v>
      </c>
      <c r="V17" s="2">
        <v>2.6709000000000001</v>
      </c>
      <c r="W17" s="2">
        <v>2.6581000000000001</v>
      </c>
      <c r="X17" s="2">
        <v>2.6463999999999999</v>
      </c>
    </row>
    <row r="18" spans="2:24" ht="18.75" thickTop="1" x14ac:dyDescent="0.2">
      <c r="B18" s="85"/>
      <c r="D18" s="1">
        <v>12</v>
      </c>
      <c r="E18" s="2">
        <v>4.7472000000000003</v>
      </c>
      <c r="F18" s="2">
        <v>3.8853</v>
      </c>
      <c r="G18" s="2">
        <v>3.4903</v>
      </c>
      <c r="H18" s="2">
        <v>3.2591999999999999</v>
      </c>
      <c r="I18" s="2">
        <v>3.1059000000000001</v>
      </c>
      <c r="J18" s="2">
        <v>2.9961000000000002</v>
      </c>
      <c r="K18" s="2">
        <v>2.9134000000000002</v>
      </c>
      <c r="L18" s="2">
        <v>2.8485999999999998</v>
      </c>
      <c r="M18" s="2">
        <v>2.7964000000000002</v>
      </c>
      <c r="N18" s="2">
        <v>2.7534000000000001</v>
      </c>
      <c r="O18" s="2">
        <v>2.7172999999999998</v>
      </c>
      <c r="P18" s="2">
        <v>2.6865999999999999</v>
      </c>
      <c r="Q18" s="2">
        <v>2.6602000000000001</v>
      </c>
      <c r="R18" s="2">
        <v>2.6371000000000002</v>
      </c>
      <c r="S18" s="2">
        <v>2.6168999999999998</v>
      </c>
      <c r="T18" s="2">
        <v>2.5989</v>
      </c>
      <c r="U18" s="2">
        <v>2.5828000000000002</v>
      </c>
      <c r="V18" s="2">
        <v>2.5684</v>
      </c>
      <c r="W18" s="2">
        <v>2.5554000000000001</v>
      </c>
      <c r="X18" s="2">
        <v>2.5436000000000001</v>
      </c>
    </row>
    <row r="19" spans="2:24" x14ac:dyDescent="0.2">
      <c r="D19" s="1">
        <v>13</v>
      </c>
      <c r="E19" s="2">
        <v>4.6672000000000002</v>
      </c>
      <c r="F19" s="2">
        <v>3.8054999999999999</v>
      </c>
      <c r="G19" s="2">
        <v>3.4106000000000001</v>
      </c>
      <c r="H19" s="2">
        <v>3.1791</v>
      </c>
      <c r="I19" s="2">
        <v>3.0255000000000001</v>
      </c>
      <c r="J19" s="2">
        <v>2.9152999999999998</v>
      </c>
      <c r="K19" s="2">
        <v>2.8321000000000001</v>
      </c>
      <c r="L19" s="2">
        <v>2.7669000000000001</v>
      </c>
      <c r="M19" s="2">
        <v>2.7143999999999999</v>
      </c>
      <c r="N19" s="2">
        <v>2.6711</v>
      </c>
      <c r="O19" s="2">
        <v>2.6347</v>
      </c>
      <c r="P19" s="2">
        <v>2.6036999999999999</v>
      </c>
      <c r="Q19" s="2">
        <v>2.5769000000000002</v>
      </c>
      <c r="R19" s="2">
        <v>2.5535999999999999</v>
      </c>
      <c r="S19" s="2">
        <v>2.5331000000000001</v>
      </c>
      <c r="T19" s="2">
        <v>2.5148999999999999</v>
      </c>
      <c r="U19" s="2">
        <v>2.4986999999999999</v>
      </c>
      <c r="V19" s="2">
        <v>2.4841000000000002</v>
      </c>
      <c r="W19" s="2">
        <v>2.4708999999999999</v>
      </c>
      <c r="X19" s="2">
        <v>2.4588999999999999</v>
      </c>
    </row>
    <row r="20" spans="2:24" x14ac:dyDescent="0.2">
      <c r="D20" s="1">
        <v>14</v>
      </c>
      <c r="E20" s="2">
        <v>4.6001000000000003</v>
      </c>
      <c r="F20" s="2">
        <v>3.7389000000000001</v>
      </c>
      <c r="G20" s="2">
        <v>3.3439000000000001</v>
      </c>
      <c r="H20" s="2">
        <v>3.1122000000000001</v>
      </c>
      <c r="I20" s="2">
        <v>2.9582000000000002</v>
      </c>
      <c r="J20" s="2">
        <v>2.8477000000000001</v>
      </c>
      <c r="K20" s="2">
        <v>2.7642000000000002</v>
      </c>
      <c r="L20" s="2">
        <v>2.6987000000000001</v>
      </c>
      <c r="M20" s="2">
        <v>2.6457999999999999</v>
      </c>
      <c r="N20" s="2">
        <v>2.6021000000000001</v>
      </c>
      <c r="O20" s="2">
        <v>2.5655000000000001</v>
      </c>
      <c r="P20" s="2">
        <v>2.5343</v>
      </c>
      <c r="Q20" s="2">
        <v>2.5072999999999999</v>
      </c>
      <c r="R20" s="2">
        <v>2.4836999999999998</v>
      </c>
      <c r="S20" s="2">
        <v>2.4630000000000001</v>
      </c>
      <c r="T20" s="2">
        <v>2.4445999999999999</v>
      </c>
      <c r="U20" s="2">
        <v>2.4281999999999999</v>
      </c>
      <c r="V20" s="2">
        <v>2.4134000000000002</v>
      </c>
      <c r="W20" s="2">
        <v>2.4</v>
      </c>
      <c r="X20" s="2">
        <v>2.3879000000000001</v>
      </c>
    </row>
    <row r="21" spans="2:24" x14ac:dyDescent="0.2">
      <c r="D21" s="1">
        <v>15</v>
      </c>
      <c r="E21" s="2">
        <v>4.5430000000000001</v>
      </c>
      <c r="F21" s="2">
        <v>3.6823999999999999</v>
      </c>
      <c r="G21" s="2">
        <v>3.2873999999999999</v>
      </c>
      <c r="H21" s="2">
        <v>3.0554999999999999</v>
      </c>
      <c r="I21" s="2">
        <v>2.9013</v>
      </c>
      <c r="J21" s="2">
        <v>2.7905000000000002</v>
      </c>
      <c r="K21" s="2">
        <v>2.7065999999999999</v>
      </c>
      <c r="L21" s="2">
        <v>2.6408</v>
      </c>
      <c r="M21" s="2">
        <v>2.5876999999999999</v>
      </c>
      <c r="N21" s="2">
        <v>2.5436999999999999</v>
      </c>
      <c r="O21" s="2">
        <v>2.5068000000000001</v>
      </c>
      <c r="P21" s="2">
        <v>2.4752999999999998</v>
      </c>
      <c r="Q21" s="2">
        <v>2.4481000000000002</v>
      </c>
      <c r="R21" s="2">
        <v>2.4243999999999999</v>
      </c>
      <c r="S21" s="2">
        <v>2.4034</v>
      </c>
      <c r="T21" s="2">
        <v>2.3849</v>
      </c>
      <c r="U21" s="2">
        <v>2.3683000000000001</v>
      </c>
      <c r="V21" s="2">
        <v>2.3532999999999999</v>
      </c>
      <c r="W21" s="2">
        <v>2.3397999999999999</v>
      </c>
      <c r="X21" s="2">
        <v>2.3275000000000001</v>
      </c>
    </row>
    <row r="22" spans="2:24" x14ac:dyDescent="0.2">
      <c r="D22" s="1">
        <v>16</v>
      </c>
      <c r="E22" s="2">
        <v>4.4939999999999998</v>
      </c>
      <c r="F22" s="2">
        <v>3.6337000000000002</v>
      </c>
      <c r="G22" s="2">
        <v>3.2389000000000001</v>
      </c>
      <c r="H22" s="2">
        <v>3.0068999999999999</v>
      </c>
      <c r="I22" s="2">
        <v>2.8523999999999998</v>
      </c>
      <c r="J22" s="2">
        <v>2.7412999999999998</v>
      </c>
      <c r="K22" s="2">
        <v>2.6572</v>
      </c>
      <c r="L22" s="2">
        <v>2.5911</v>
      </c>
      <c r="M22" s="2">
        <v>2.5377000000000001</v>
      </c>
      <c r="N22" s="2">
        <v>2.4935</v>
      </c>
      <c r="O22" s="2">
        <v>2.4563999999999999</v>
      </c>
      <c r="P22" s="2">
        <v>2.4247000000000001</v>
      </c>
      <c r="Q22" s="2">
        <v>2.3973</v>
      </c>
      <c r="R22" s="2">
        <v>2.3733</v>
      </c>
      <c r="S22" s="2">
        <v>2.3521999999999998</v>
      </c>
      <c r="T22" s="2">
        <v>2.3334999999999999</v>
      </c>
      <c r="U22" s="2">
        <v>2.3167</v>
      </c>
      <c r="V22" s="2">
        <v>2.3016000000000001</v>
      </c>
      <c r="W22" s="2">
        <v>2.2879999999999998</v>
      </c>
      <c r="X22" s="2">
        <v>2.2755999999999998</v>
      </c>
    </row>
    <row r="23" spans="2:24" x14ac:dyDescent="0.2">
      <c r="D23" s="1">
        <v>17</v>
      </c>
      <c r="E23" s="2">
        <v>4.4512999999999998</v>
      </c>
      <c r="F23" s="2">
        <v>3.5916000000000001</v>
      </c>
      <c r="G23" s="2">
        <v>3.1968000000000001</v>
      </c>
      <c r="H23" s="2">
        <v>2.9647000000000001</v>
      </c>
      <c r="I23" s="2">
        <v>2.81</v>
      </c>
      <c r="J23" s="2">
        <v>2.6987000000000001</v>
      </c>
      <c r="K23" s="2">
        <v>2.6143000000000001</v>
      </c>
      <c r="L23" s="2">
        <v>2.548</v>
      </c>
      <c r="M23" s="2">
        <v>2.4943</v>
      </c>
      <c r="N23" s="2">
        <v>2.4499</v>
      </c>
      <c r="O23" s="2">
        <v>2.4125999999999999</v>
      </c>
      <c r="P23" s="2">
        <v>2.3807</v>
      </c>
      <c r="Q23" s="2">
        <v>2.3531</v>
      </c>
      <c r="R23" s="2">
        <v>2.3290000000000002</v>
      </c>
      <c r="S23" s="2">
        <v>2.3077000000000001</v>
      </c>
      <c r="T23" s="2">
        <v>2.2888000000000002</v>
      </c>
      <c r="U23" s="2">
        <v>2.2719</v>
      </c>
      <c r="V23" s="2">
        <v>2.2566999999999999</v>
      </c>
      <c r="W23" s="2">
        <v>2.2429000000000001</v>
      </c>
      <c r="X23" s="2">
        <v>2.2303000000000002</v>
      </c>
    </row>
    <row r="24" spans="2:24" x14ac:dyDescent="0.2">
      <c r="D24" s="1">
        <v>18</v>
      </c>
      <c r="E24" s="2">
        <v>4.4138999999999999</v>
      </c>
      <c r="F24" s="2">
        <v>3.5546000000000002</v>
      </c>
      <c r="G24" s="2">
        <v>3.1598999999999999</v>
      </c>
      <c r="H24" s="2">
        <v>2.9278</v>
      </c>
      <c r="I24" s="2">
        <v>2.7728999999999999</v>
      </c>
      <c r="J24" s="2">
        <v>2.6613000000000002</v>
      </c>
      <c r="K24" s="2">
        <v>2.5767000000000002</v>
      </c>
      <c r="L24" s="2">
        <v>2.5102000000000002</v>
      </c>
      <c r="M24" s="2">
        <v>2.4563000000000001</v>
      </c>
      <c r="N24" s="2">
        <v>2.4117000000000002</v>
      </c>
      <c r="O24" s="2">
        <v>2.3742000000000001</v>
      </c>
      <c r="P24" s="2">
        <v>2.3420999999999998</v>
      </c>
      <c r="Q24" s="2">
        <v>2.3142999999999998</v>
      </c>
      <c r="R24" s="2">
        <v>2.29</v>
      </c>
      <c r="S24" s="2">
        <v>2.2686000000000002</v>
      </c>
      <c r="T24" s="2">
        <v>2.2496</v>
      </c>
      <c r="U24" s="2">
        <v>2.2324999999999999</v>
      </c>
      <c r="V24" s="2">
        <v>2.2172000000000001</v>
      </c>
      <c r="W24" s="2">
        <v>2.2033</v>
      </c>
      <c r="X24" s="2">
        <v>2.1905999999999999</v>
      </c>
    </row>
    <row r="25" spans="2:24" x14ac:dyDescent="0.2">
      <c r="D25" s="1">
        <v>19</v>
      </c>
      <c r="E25" s="2">
        <v>4.3807999999999998</v>
      </c>
      <c r="F25" s="2">
        <v>3.5219</v>
      </c>
      <c r="G25" s="2">
        <v>3.1274000000000002</v>
      </c>
      <c r="H25" s="2">
        <v>2.8950999999999998</v>
      </c>
      <c r="I25" s="2">
        <v>2.7401</v>
      </c>
      <c r="J25" s="2">
        <v>2.6282999999999999</v>
      </c>
      <c r="K25" s="2">
        <v>2.5434999999999999</v>
      </c>
      <c r="L25" s="2">
        <v>2.4767999999999999</v>
      </c>
      <c r="M25" s="2">
        <v>2.4226999999999999</v>
      </c>
      <c r="N25" s="2">
        <v>2.3780000000000001</v>
      </c>
      <c r="O25" s="2">
        <v>2.3401999999999998</v>
      </c>
      <c r="P25" s="2">
        <v>2.3079999999999998</v>
      </c>
      <c r="Q25" s="2">
        <v>2.2799999999999998</v>
      </c>
      <c r="R25" s="2">
        <v>2.2555999999999998</v>
      </c>
      <c r="S25" s="2">
        <v>2.2341000000000002</v>
      </c>
      <c r="T25" s="2">
        <v>2.2149000000000001</v>
      </c>
      <c r="U25" s="2">
        <v>2.1977000000000002</v>
      </c>
      <c r="V25" s="2">
        <v>2.1823000000000001</v>
      </c>
      <c r="W25" s="2">
        <v>2.1682999999999999</v>
      </c>
      <c r="X25" s="2">
        <v>2.1555</v>
      </c>
    </row>
    <row r="26" spans="2:24" x14ac:dyDescent="0.2">
      <c r="C26" s="7">
        <f>+RSQ(E15:G15,E7:G7)</f>
        <v>0.99974269140537653</v>
      </c>
      <c r="D26" s="1">
        <v>20</v>
      </c>
      <c r="E26" s="2">
        <v>4.3512000000000004</v>
      </c>
      <c r="F26" s="2">
        <v>3.4927999999999999</v>
      </c>
      <c r="G26" s="2">
        <v>3.0983999999999998</v>
      </c>
      <c r="H26" s="2">
        <v>2.8660999999999999</v>
      </c>
      <c r="I26" s="2">
        <v>2.7109000000000001</v>
      </c>
      <c r="J26" s="2">
        <v>2.5990000000000002</v>
      </c>
      <c r="K26" s="2">
        <v>2.5139999999999998</v>
      </c>
      <c r="L26" s="2">
        <v>2.4470999999999998</v>
      </c>
      <c r="M26" s="2">
        <v>2.3927999999999998</v>
      </c>
      <c r="N26" s="2">
        <v>2.3479000000000001</v>
      </c>
      <c r="O26" s="2">
        <v>2.31</v>
      </c>
      <c r="P26" s="2">
        <v>2.2776000000000001</v>
      </c>
      <c r="Q26" s="2">
        <v>2.2494999999999998</v>
      </c>
      <c r="R26" s="2">
        <v>2.2248999999999999</v>
      </c>
      <c r="S26" s="2">
        <v>2.2033</v>
      </c>
      <c r="T26" s="2">
        <v>2.1840000000000002</v>
      </c>
      <c r="U26" s="2">
        <v>2.1667000000000001</v>
      </c>
      <c r="V26" s="2">
        <v>2.1511</v>
      </c>
      <c r="W26" s="2">
        <v>2.137</v>
      </c>
      <c r="X26" s="2">
        <v>2.1242000000000001</v>
      </c>
    </row>
    <row r="27" spans="2:24" x14ac:dyDescent="0.2">
      <c r="D27" s="1" t="s">
        <v>15</v>
      </c>
      <c r="E27" s="1">
        <v>1</v>
      </c>
      <c r="F27" s="1">
        <v>2</v>
      </c>
      <c r="G27" s="1">
        <v>3</v>
      </c>
      <c r="H27" s="1">
        <v>4</v>
      </c>
      <c r="I27" s="1">
        <v>5</v>
      </c>
      <c r="J27" s="1">
        <v>6</v>
      </c>
      <c r="K27" s="1">
        <v>7</v>
      </c>
      <c r="L27" s="1">
        <v>8</v>
      </c>
      <c r="M27" s="1">
        <v>9</v>
      </c>
      <c r="N27" s="1">
        <v>10</v>
      </c>
      <c r="O27" s="1">
        <v>11</v>
      </c>
      <c r="P27" s="1">
        <v>12</v>
      </c>
      <c r="Q27" s="1">
        <v>13</v>
      </c>
      <c r="R27" s="1">
        <v>14</v>
      </c>
      <c r="S27" s="1">
        <v>15</v>
      </c>
      <c r="T27" s="1">
        <v>16</v>
      </c>
      <c r="U27" s="1">
        <v>17</v>
      </c>
      <c r="V27" s="1">
        <v>18</v>
      </c>
      <c r="W27" s="1">
        <v>19</v>
      </c>
      <c r="X27" s="1">
        <v>20</v>
      </c>
    </row>
    <row r="28" spans="2:24" x14ac:dyDescent="0.2">
      <c r="D28" s="1" t="s">
        <v>16</v>
      </c>
      <c r="E28" s="1" t="s">
        <v>17</v>
      </c>
      <c r="F28" s="1"/>
      <c r="G28" s="1"/>
      <c r="H28" s="1"/>
      <c r="I28" s="1"/>
      <c r="J28" s="1"/>
      <c r="K28" s="1"/>
      <c r="L28" s="1"/>
      <c r="M28" s="1"/>
      <c r="N28" s="1"/>
      <c r="O28" s="1"/>
      <c r="P28" s="1"/>
      <c r="Q28" s="1"/>
      <c r="R28" s="1"/>
      <c r="S28" s="1"/>
      <c r="T28" s="1"/>
      <c r="U28" s="1"/>
      <c r="V28" s="1"/>
      <c r="W28" s="1"/>
      <c r="X28" s="1"/>
    </row>
    <row r="29" spans="2:24" x14ac:dyDescent="0.2">
      <c r="D29" s="1">
        <v>21</v>
      </c>
      <c r="E29" s="2">
        <v>4.3247999999999998</v>
      </c>
      <c r="F29" s="2">
        <v>3.4668000000000001</v>
      </c>
      <c r="G29" s="2">
        <v>3.0724999999999998</v>
      </c>
      <c r="H29" s="2">
        <v>2.8401000000000001</v>
      </c>
      <c r="I29" s="2">
        <v>2.6848000000000001</v>
      </c>
      <c r="J29" s="2">
        <v>2.5727000000000002</v>
      </c>
      <c r="K29" s="2">
        <v>2.4876</v>
      </c>
      <c r="L29" s="2">
        <v>2.4205000000000001</v>
      </c>
      <c r="M29" s="2">
        <v>2.3660999999999999</v>
      </c>
      <c r="N29" s="2">
        <v>2.3209</v>
      </c>
      <c r="O29" s="2">
        <v>2.2829000000000002</v>
      </c>
      <c r="P29" s="2">
        <v>2.2504</v>
      </c>
      <c r="Q29" s="2">
        <v>2.2222</v>
      </c>
      <c r="R29" s="2">
        <v>2.1974999999999998</v>
      </c>
      <c r="S29" s="2">
        <v>2.1757</v>
      </c>
      <c r="T29" s="2">
        <v>2.1562999999999999</v>
      </c>
      <c r="U29" s="2">
        <v>2.1389</v>
      </c>
      <c r="V29" s="2">
        <v>2.1232000000000002</v>
      </c>
      <c r="W29" s="2">
        <v>2.109</v>
      </c>
      <c r="X29" s="2">
        <v>2.0960000000000001</v>
      </c>
    </row>
    <row r="30" spans="2:24" x14ac:dyDescent="0.2">
      <c r="D30" s="1">
        <v>22</v>
      </c>
      <c r="E30" s="2">
        <v>4.3009000000000004</v>
      </c>
      <c r="F30" s="2">
        <v>3.4434</v>
      </c>
      <c r="G30" s="2">
        <v>3.0491999999999999</v>
      </c>
      <c r="H30" s="2">
        <v>2.8167</v>
      </c>
      <c r="I30" s="2">
        <v>2.6613000000000002</v>
      </c>
      <c r="J30" s="2">
        <v>2.5491000000000001</v>
      </c>
      <c r="K30" s="2">
        <v>2.4638</v>
      </c>
      <c r="L30" s="2">
        <v>2.3965000000000001</v>
      </c>
      <c r="M30" s="2">
        <v>2.3418999999999999</v>
      </c>
      <c r="N30" s="2">
        <v>2.2967</v>
      </c>
      <c r="O30" s="2">
        <v>2.2585000000000002</v>
      </c>
      <c r="P30" s="2">
        <v>2.2258</v>
      </c>
      <c r="Q30" s="2">
        <v>2.1974999999999998</v>
      </c>
      <c r="R30" s="2">
        <v>2.1726999999999999</v>
      </c>
      <c r="S30" s="2">
        <v>2.1507999999999998</v>
      </c>
      <c r="T30" s="2">
        <v>2.1313</v>
      </c>
      <c r="U30" s="2">
        <v>2.1137999999999999</v>
      </c>
      <c r="V30" s="2">
        <v>2.0979999999999999</v>
      </c>
      <c r="W30" s="2">
        <v>2.0836999999999999</v>
      </c>
      <c r="X30" s="2">
        <v>2.0707</v>
      </c>
    </row>
    <row r="31" spans="2:24" x14ac:dyDescent="0.2">
      <c r="D31" s="1">
        <v>23</v>
      </c>
      <c r="E31" s="2">
        <v>4.2793999999999999</v>
      </c>
      <c r="F31" s="2">
        <v>3.4220999999999999</v>
      </c>
      <c r="G31" s="2">
        <v>3.028</v>
      </c>
      <c r="H31" s="2">
        <v>2.7955000000000001</v>
      </c>
      <c r="I31" s="2">
        <v>2.64</v>
      </c>
      <c r="J31" s="2">
        <v>2.5276000000000001</v>
      </c>
      <c r="K31" s="2">
        <v>2.4422000000000001</v>
      </c>
      <c r="L31" s="2">
        <v>2.3748</v>
      </c>
      <c r="M31" s="2">
        <v>2.3201000000000001</v>
      </c>
      <c r="N31" s="2">
        <v>2.2747000000000002</v>
      </c>
      <c r="O31" s="2">
        <v>2.2364000000000002</v>
      </c>
      <c r="P31" s="2">
        <v>2.2035999999999998</v>
      </c>
      <c r="Q31" s="2">
        <v>2.1751999999999998</v>
      </c>
      <c r="R31" s="2">
        <v>2.1503000000000001</v>
      </c>
      <c r="S31" s="2">
        <v>2.1282000000000001</v>
      </c>
      <c r="T31" s="2">
        <v>2.1086</v>
      </c>
      <c r="U31" s="2">
        <v>2.0910000000000002</v>
      </c>
      <c r="V31" s="2">
        <v>2.0750999999999999</v>
      </c>
      <c r="W31" s="2">
        <v>2.0608</v>
      </c>
      <c r="X31" s="2">
        <v>2.0476000000000001</v>
      </c>
    </row>
    <row r="32" spans="2:24" x14ac:dyDescent="0.2">
      <c r="D32" s="1">
        <v>24</v>
      </c>
      <c r="E32" s="2">
        <v>4.2596999999999996</v>
      </c>
      <c r="F32" s="2">
        <v>3.4028999999999998</v>
      </c>
      <c r="G32" s="2">
        <v>3.0087999999999999</v>
      </c>
      <c r="H32" s="2">
        <v>2.7763</v>
      </c>
      <c r="I32" s="2">
        <v>2.6206</v>
      </c>
      <c r="J32" s="2">
        <v>2.5082</v>
      </c>
      <c r="K32" s="2">
        <v>2.4226000000000001</v>
      </c>
      <c r="L32" s="2">
        <v>2.3551000000000002</v>
      </c>
      <c r="M32" s="2">
        <v>2.3003</v>
      </c>
      <c r="N32" s="2">
        <v>2.2547000000000001</v>
      </c>
      <c r="O32" s="2">
        <v>2.2162999999999999</v>
      </c>
      <c r="P32" s="2">
        <v>2.1833999999999998</v>
      </c>
      <c r="Q32" s="2">
        <v>2.1547999999999998</v>
      </c>
      <c r="R32" s="2">
        <v>2.1297999999999999</v>
      </c>
      <c r="S32" s="2">
        <v>2.1076999999999999</v>
      </c>
      <c r="T32" s="2">
        <v>2.0880000000000001</v>
      </c>
      <c r="U32" s="2">
        <v>2.0703</v>
      </c>
      <c r="V32" s="2">
        <v>2.0543</v>
      </c>
      <c r="W32" s="2">
        <v>2.0398999999999998</v>
      </c>
      <c r="X32" s="2">
        <v>2.0266999999999999</v>
      </c>
    </row>
    <row r="33" spans="4:24" x14ac:dyDescent="0.2">
      <c r="D33" s="1">
        <v>25</v>
      </c>
      <c r="E33" s="2">
        <v>4.2416999999999998</v>
      </c>
      <c r="F33" s="2">
        <v>3.3852000000000002</v>
      </c>
      <c r="G33" s="2">
        <v>2.9912999999999998</v>
      </c>
      <c r="H33" s="2">
        <v>2.7587000000000002</v>
      </c>
      <c r="I33" s="2">
        <v>2.6030000000000002</v>
      </c>
      <c r="J33" s="2">
        <v>2.4904000000000002</v>
      </c>
      <c r="K33" s="2">
        <v>2.4047000000000001</v>
      </c>
      <c r="L33" s="2">
        <v>2.3371</v>
      </c>
      <c r="M33" s="2">
        <v>2.2820999999999998</v>
      </c>
      <c r="N33" s="2">
        <v>2.2364999999999999</v>
      </c>
      <c r="O33" s="2">
        <v>2.1979000000000002</v>
      </c>
      <c r="P33" s="2">
        <v>2.1648999999999998</v>
      </c>
      <c r="Q33" s="2">
        <v>2.1362000000000001</v>
      </c>
      <c r="R33" s="2">
        <v>2.1111</v>
      </c>
      <c r="S33" s="2">
        <v>2.0889000000000002</v>
      </c>
      <c r="T33" s="2">
        <v>2.0691000000000002</v>
      </c>
      <c r="U33" s="2">
        <v>2.0512999999999999</v>
      </c>
      <c r="V33" s="2">
        <v>2.0352999999999999</v>
      </c>
      <c r="W33" s="2">
        <v>2.0207000000000002</v>
      </c>
      <c r="X33" s="2">
        <v>2.0074999999999998</v>
      </c>
    </row>
    <row r="34" spans="4:24" x14ac:dyDescent="0.2">
      <c r="D34" s="1">
        <v>26</v>
      </c>
      <c r="E34" s="2">
        <v>4.2252000000000001</v>
      </c>
      <c r="F34" s="2">
        <v>3.3690000000000002</v>
      </c>
      <c r="G34" s="2">
        <v>2.9752000000000001</v>
      </c>
      <c r="H34" s="2">
        <v>2.7425999999999999</v>
      </c>
      <c r="I34" s="2">
        <v>2.5868000000000002</v>
      </c>
      <c r="J34" s="2">
        <v>2.4741</v>
      </c>
      <c r="K34" s="2">
        <v>2.3883000000000001</v>
      </c>
      <c r="L34" s="2">
        <v>2.3205</v>
      </c>
      <c r="M34" s="2">
        <v>2.2654999999999998</v>
      </c>
      <c r="N34" s="2">
        <v>2.2197</v>
      </c>
      <c r="O34" s="2">
        <v>2.1810999999999998</v>
      </c>
      <c r="P34" s="2">
        <v>2.1478999999999999</v>
      </c>
      <c r="Q34" s="2">
        <v>2.1192000000000002</v>
      </c>
      <c r="R34" s="2">
        <v>2.0939999999999999</v>
      </c>
      <c r="S34" s="2">
        <v>2.0716000000000001</v>
      </c>
      <c r="T34" s="2">
        <v>2.0518000000000001</v>
      </c>
      <c r="U34" s="2">
        <v>2.0339</v>
      </c>
      <c r="V34" s="2">
        <v>2.0177999999999998</v>
      </c>
      <c r="W34" s="2">
        <v>2.0032000000000001</v>
      </c>
      <c r="X34" s="2">
        <v>1.9898</v>
      </c>
    </row>
    <row r="35" spans="4:24" x14ac:dyDescent="0.2">
      <c r="D35" s="1">
        <v>27</v>
      </c>
      <c r="E35" s="2">
        <v>4.21</v>
      </c>
      <c r="F35" s="2">
        <v>3.3542000000000001</v>
      </c>
      <c r="G35" s="2">
        <v>2.9603000000000002</v>
      </c>
      <c r="H35" s="2">
        <v>2.7277</v>
      </c>
      <c r="I35" s="2">
        <v>2.5718999999999999</v>
      </c>
      <c r="J35" s="2">
        <v>2.4590999999999998</v>
      </c>
      <c r="K35" s="2">
        <v>2.3732000000000002</v>
      </c>
      <c r="L35" s="2">
        <v>2.3052999999999999</v>
      </c>
      <c r="M35" s="2">
        <v>2.2501000000000002</v>
      </c>
      <c r="N35" s="2">
        <v>2.2042999999999999</v>
      </c>
      <c r="O35" s="2">
        <v>2.1656</v>
      </c>
      <c r="P35" s="2">
        <v>2.1322999999999999</v>
      </c>
      <c r="Q35" s="2">
        <v>2.1034999999999999</v>
      </c>
      <c r="R35" s="2">
        <v>2.0781999999999998</v>
      </c>
      <c r="S35" s="2">
        <v>2.0558000000000001</v>
      </c>
      <c r="T35" s="2">
        <v>2.0358000000000001</v>
      </c>
      <c r="U35" s="2">
        <v>2.0179</v>
      </c>
      <c r="V35" s="2">
        <v>2.0017</v>
      </c>
      <c r="W35" s="2">
        <v>1.9870000000000001</v>
      </c>
      <c r="X35" s="2">
        <v>1.9736</v>
      </c>
    </row>
    <row r="36" spans="4:24" x14ac:dyDescent="0.2">
      <c r="D36" s="1">
        <v>28</v>
      </c>
      <c r="E36" s="2">
        <v>4.1959999999999997</v>
      </c>
      <c r="F36" s="2">
        <v>3.3403999999999998</v>
      </c>
      <c r="G36" s="2">
        <v>2.9466999999999999</v>
      </c>
      <c r="H36" s="2">
        <v>2.7141000000000002</v>
      </c>
      <c r="I36" s="2">
        <v>2.5581</v>
      </c>
      <c r="J36" s="2">
        <v>2.4453</v>
      </c>
      <c r="K36" s="2">
        <v>2.3592</v>
      </c>
      <c r="L36" s="2">
        <v>2.2913000000000001</v>
      </c>
      <c r="M36" s="2">
        <v>2.2360000000000002</v>
      </c>
      <c r="N36" s="2">
        <v>2.1901000000000002</v>
      </c>
      <c r="O36" s="2">
        <v>2.1511999999999998</v>
      </c>
      <c r="P36" s="2">
        <v>2.1179000000000001</v>
      </c>
      <c r="Q36" s="2">
        <v>2.0889000000000002</v>
      </c>
      <c r="R36" s="2">
        <v>2.0636000000000001</v>
      </c>
      <c r="S36" s="2">
        <v>2.0411000000000001</v>
      </c>
      <c r="T36" s="2">
        <v>2.0209999999999999</v>
      </c>
      <c r="U36" s="2">
        <v>2.0030999999999999</v>
      </c>
      <c r="V36" s="2">
        <v>1.9867999999999999</v>
      </c>
      <c r="W36" s="2">
        <v>1.972</v>
      </c>
      <c r="X36" s="2">
        <v>1.9585999999999999</v>
      </c>
    </row>
    <row r="37" spans="4:24" x14ac:dyDescent="0.2">
      <c r="D37" s="1">
        <v>29</v>
      </c>
      <c r="E37" s="2">
        <v>4.1829000000000001</v>
      </c>
      <c r="F37" s="2">
        <v>3.3275999999999999</v>
      </c>
      <c r="G37" s="2">
        <v>2.9340999999999999</v>
      </c>
      <c r="H37" s="2">
        <v>2.7014</v>
      </c>
      <c r="I37" s="2">
        <v>2.5453999999999999</v>
      </c>
      <c r="J37" s="2">
        <v>2.4323999999999999</v>
      </c>
      <c r="K37" s="2">
        <v>2.3462999999999998</v>
      </c>
      <c r="L37" s="2">
        <v>2.2783000000000002</v>
      </c>
      <c r="M37" s="2">
        <v>2.2229000000000001</v>
      </c>
      <c r="N37" s="2">
        <v>2.1768000000000001</v>
      </c>
      <c r="O37" s="2">
        <v>2.1379000000000001</v>
      </c>
      <c r="P37" s="2">
        <v>2.1044999999999998</v>
      </c>
      <c r="Q37" s="2">
        <v>2.0754999999999999</v>
      </c>
      <c r="R37" s="2">
        <v>2.0499999999999998</v>
      </c>
      <c r="S37" s="2">
        <v>2.0274999999999999</v>
      </c>
      <c r="T37" s="2">
        <v>2.0074000000000001</v>
      </c>
      <c r="U37" s="2">
        <v>1.9893000000000001</v>
      </c>
      <c r="V37" s="2">
        <v>1.9730000000000001</v>
      </c>
      <c r="W37" s="2">
        <v>1.9581999999999999</v>
      </c>
      <c r="X37" s="2">
        <v>1.9446000000000001</v>
      </c>
    </row>
    <row r="38" spans="4:24" x14ac:dyDescent="0.2">
      <c r="D38" s="1">
        <v>30</v>
      </c>
      <c r="E38" s="2">
        <v>4.1708999999999996</v>
      </c>
      <c r="F38" s="2">
        <v>3.3157999999999999</v>
      </c>
      <c r="G38" s="2">
        <v>2.9222999999999999</v>
      </c>
      <c r="H38" s="2">
        <v>2.6896</v>
      </c>
      <c r="I38" s="2">
        <v>2.5335000000000001</v>
      </c>
      <c r="J38" s="2">
        <v>2.4205000000000001</v>
      </c>
      <c r="K38" s="2">
        <v>2.3342999999999998</v>
      </c>
      <c r="L38" s="2">
        <v>2.2662</v>
      </c>
      <c r="M38" s="2">
        <v>2.2107000000000001</v>
      </c>
      <c r="N38" s="2">
        <v>2.1646000000000001</v>
      </c>
      <c r="O38" s="2">
        <v>2.1255000000000002</v>
      </c>
      <c r="P38" s="2">
        <v>2.0920999999999998</v>
      </c>
      <c r="Q38" s="2">
        <v>2.0629</v>
      </c>
      <c r="R38" s="2">
        <v>2.0373999999999999</v>
      </c>
      <c r="S38" s="2">
        <v>2.0148000000000001</v>
      </c>
      <c r="T38" s="2">
        <v>1.9945999999999999</v>
      </c>
      <c r="U38" s="2">
        <v>1.9764999999999999</v>
      </c>
      <c r="V38" s="2">
        <v>1.9601</v>
      </c>
      <c r="W38" s="2">
        <v>1.9452</v>
      </c>
      <c r="X38" s="2">
        <v>1.9317</v>
      </c>
    </row>
    <row r="39" spans="4:24" x14ac:dyDescent="0.2">
      <c r="D39" s="1">
        <v>31</v>
      </c>
      <c r="E39" s="2">
        <v>4.1597</v>
      </c>
      <c r="F39" s="2">
        <v>3.3048000000000002</v>
      </c>
      <c r="G39" s="2">
        <v>2.9113000000000002</v>
      </c>
      <c r="H39" s="2">
        <v>2.6787000000000001</v>
      </c>
      <c r="I39" s="2">
        <v>2.5225</v>
      </c>
      <c r="J39" s="2">
        <v>2.4094000000000002</v>
      </c>
      <c r="K39" s="2">
        <v>2.3231999999999999</v>
      </c>
      <c r="L39" s="2">
        <v>2.2549000000000001</v>
      </c>
      <c r="M39" s="2">
        <v>2.1993999999999998</v>
      </c>
      <c r="N39" s="2">
        <v>2.1530999999999998</v>
      </c>
      <c r="O39" s="2">
        <v>2.1141000000000001</v>
      </c>
      <c r="P39" s="2">
        <v>2.0804999999999998</v>
      </c>
      <c r="Q39" s="2">
        <v>2.0512999999999999</v>
      </c>
      <c r="R39" s="2">
        <v>2.0257000000000001</v>
      </c>
      <c r="S39" s="2">
        <v>2.0030000000000001</v>
      </c>
      <c r="T39" s="2">
        <v>1.9827999999999999</v>
      </c>
      <c r="U39" s="2">
        <v>1.9645999999999999</v>
      </c>
      <c r="V39" s="2">
        <v>1.9480999999999999</v>
      </c>
      <c r="W39" s="2">
        <v>1.9332</v>
      </c>
      <c r="X39" s="2">
        <v>1.9196</v>
      </c>
    </row>
    <row r="40" spans="4:24" x14ac:dyDescent="0.2">
      <c r="D40" s="1">
        <v>32</v>
      </c>
      <c r="E40" s="2">
        <v>4.1490999999999998</v>
      </c>
      <c r="F40" s="2">
        <v>3.2945000000000002</v>
      </c>
      <c r="G40" s="2">
        <v>2.9011</v>
      </c>
      <c r="H40" s="2">
        <v>2.6684000000000001</v>
      </c>
      <c r="I40" s="2">
        <v>2.5123000000000002</v>
      </c>
      <c r="J40" s="2">
        <v>2.3990999999999998</v>
      </c>
      <c r="K40" s="2">
        <v>2.3127</v>
      </c>
      <c r="L40" s="2">
        <v>2.2444000000000002</v>
      </c>
      <c r="M40" s="2">
        <v>2.1888000000000001</v>
      </c>
      <c r="N40" s="2">
        <v>2.1425000000000001</v>
      </c>
      <c r="O40" s="2">
        <v>2.1032999999999999</v>
      </c>
      <c r="P40" s="2">
        <v>2.0697000000000001</v>
      </c>
      <c r="Q40" s="2">
        <v>2.0404</v>
      </c>
      <c r="R40" s="2">
        <v>2.0146999999999999</v>
      </c>
      <c r="S40" s="2">
        <v>1.992</v>
      </c>
      <c r="T40" s="2">
        <v>1.9717</v>
      </c>
      <c r="U40" s="2">
        <v>1.9534</v>
      </c>
      <c r="V40" s="2">
        <v>1.9369000000000001</v>
      </c>
      <c r="W40" s="2">
        <v>1.9218999999999999</v>
      </c>
      <c r="X40" s="2">
        <v>1.9083000000000001</v>
      </c>
    </row>
    <row r="41" spans="4:24" x14ac:dyDescent="0.2">
      <c r="D41" s="1">
        <v>33</v>
      </c>
      <c r="E41" s="2">
        <v>4.1391999999999998</v>
      </c>
      <c r="F41" s="2">
        <v>3.2848999999999999</v>
      </c>
      <c r="G41" s="2">
        <v>2.8915000000000002</v>
      </c>
      <c r="H41" s="2">
        <v>2.6589</v>
      </c>
      <c r="I41" s="2">
        <v>2.5026999999999999</v>
      </c>
      <c r="J41" s="2">
        <v>2.3894000000000002</v>
      </c>
      <c r="K41" s="2">
        <v>2.3029999999999999</v>
      </c>
      <c r="L41" s="2">
        <v>2.2345999999999999</v>
      </c>
      <c r="M41" s="2">
        <v>2.1789000000000001</v>
      </c>
      <c r="N41" s="2">
        <v>2.1324999999999998</v>
      </c>
      <c r="O41" s="2">
        <v>2.0933000000000002</v>
      </c>
      <c r="P41" s="2">
        <v>2.0596000000000001</v>
      </c>
      <c r="Q41" s="2">
        <v>2.0301999999999998</v>
      </c>
      <c r="R41" s="2">
        <v>2.0045000000000002</v>
      </c>
      <c r="S41" s="2">
        <v>1.9817</v>
      </c>
      <c r="T41" s="2">
        <v>1.9613</v>
      </c>
      <c r="U41" s="2">
        <v>1.9430000000000001</v>
      </c>
      <c r="V41" s="2">
        <v>1.9263999999999999</v>
      </c>
      <c r="W41" s="2">
        <v>1.9114</v>
      </c>
      <c r="X41" s="2">
        <v>1.8976999999999999</v>
      </c>
    </row>
    <row r="42" spans="4:24" x14ac:dyDescent="0.2">
      <c r="D42" s="1">
        <v>34</v>
      </c>
      <c r="E42" s="2">
        <v>4.13</v>
      </c>
      <c r="F42" s="2">
        <v>3.2759</v>
      </c>
      <c r="G42" s="2">
        <v>2.8826000000000001</v>
      </c>
      <c r="H42" s="2">
        <v>2.6499000000000001</v>
      </c>
      <c r="I42" s="2">
        <v>2.4935999999999998</v>
      </c>
      <c r="J42" s="2">
        <v>2.3803000000000001</v>
      </c>
      <c r="K42" s="2">
        <v>2.2938000000000001</v>
      </c>
      <c r="L42" s="2">
        <v>2.2252999999999998</v>
      </c>
      <c r="M42" s="2">
        <v>2.1696</v>
      </c>
      <c r="N42" s="2">
        <v>2.1231</v>
      </c>
      <c r="O42" s="2">
        <v>2.0838000000000001</v>
      </c>
      <c r="P42" s="2">
        <v>2.0499999999999998</v>
      </c>
      <c r="Q42" s="2">
        <v>2.0207000000000002</v>
      </c>
      <c r="R42" s="2">
        <v>1.9948999999999999</v>
      </c>
      <c r="S42" s="2">
        <v>1.972</v>
      </c>
      <c r="T42" s="2">
        <v>1.9516</v>
      </c>
      <c r="U42" s="2">
        <v>1.9332</v>
      </c>
      <c r="V42" s="2">
        <v>1.9166000000000001</v>
      </c>
      <c r="W42" s="2">
        <v>1.9015</v>
      </c>
      <c r="X42" s="2">
        <v>1.8876999999999999</v>
      </c>
    </row>
    <row r="43" spans="4:24" x14ac:dyDescent="0.2">
      <c r="D43" s="1">
        <v>35</v>
      </c>
      <c r="E43" s="2">
        <v>4.1214000000000004</v>
      </c>
      <c r="F43" s="2">
        <v>3.2673999999999999</v>
      </c>
      <c r="G43" s="2">
        <v>2.8742000000000001</v>
      </c>
      <c r="H43" s="2">
        <v>2.6415000000000002</v>
      </c>
      <c r="I43" s="2">
        <v>2.4851000000000001</v>
      </c>
      <c r="J43" s="2">
        <v>2.3717999999999999</v>
      </c>
      <c r="K43" s="2">
        <v>2.2852000000000001</v>
      </c>
      <c r="L43" s="2">
        <v>2.2166999999999999</v>
      </c>
      <c r="M43" s="2">
        <v>2.1608000000000001</v>
      </c>
      <c r="N43" s="2">
        <v>2.1143000000000001</v>
      </c>
      <c r="O43" s="2">
        <v>2.0749</v>
      </c>
      <c r="P43" s="2">
        <v>2.0411000000000001</v>
      </c>
      <c r="Q43" s="2">
        <v>2.0116999999999998</v>
      </c>
      <c r="R43" s="2">
        <v>1.9858</v>
      </c>
      <c r="S43" s="2">
        <v>1.9629000000000001</v>
      </c>
      <c r="T43" s="2">
        <v>1.9423999999999999</v>
      </c>
      <c r="U43" s="2">
        <v>1.9239999999999999</v>
      </c>
      <c r="V43" s="2">
        <v>1.9073</v>
      </c>
      <c r="W43" s="2">
        <v>1.8922000000000001</v>
      </c>
      <c r="X43" s="2">
        <v>1.8784000000000001</v>
      </c>
    </row>
    <row r="44" spans="4:24" x14ac:dyDescent="0.2">
      <c r="D44" s="1">
        <v>36</v>
      </c>
      <c r="E44" s="2">
        <v>4.1132</v>
      </c>
      <c r="F44" s="2">
        <v>3.2593999999999999</v>
      </c>
      <c r="G44" s="2">
        <v>2.8662999999999998</v>
      </c>
      <c r="H44" s="2">
        <v>2.6335000000000002</v>
      </c>
      <c r="I44" s="2">
        <v>2.4771000000000001</v>
      </c>
      <c r="J44" s="2">
        <v>2.3637000000000001</v>
      </c>
      <c r="K44" s="2">
        <v>2.2770999999999999</v>
      </c>
      <c r="L44" s="2">
        <v>2.2084999999999999</v>
      </c>
      <c r="M44" s="2">
        <v>2.1526000000000001</v>
      </c>
      <c r="N44" s="2">
        <v>2.1061000000000001</v>
      </c>
      <c r="O44" s="2">
        <v>2.0666000000000002</v>
      </c>
      <c r="P44" s="2">
        <v>2.0327000000000002</v>
      </c>
      <c r="Q44" s="2">
        <v>2.0032000000000001</v>
      </c>
      <c r="R44" s="2">
        <v>1.9773000000000001</v>
      </c>
      <c r="S44" s="2">
        <v>1.9542999999999999</v>
      </c>
      <c r="T44" s="2">
        <v>1.9338</v>
      </c>
      <c r="U44" s="2">
        <v>1.9153</v>
      </c>
      <c r="V44" s="2">
        <v>1.8986000000000001</v>
      </c>
      <c r="W44" s="2">
        <v>1.8834</v>
      </c>
      <c r="X44" s="2">
        <v>1.8695999999999999</v>
      </c>
    </row>
    <row r="45" spans="4:24" x14ac:dyDescent="0.2">
      <c r="D45" s="1">
        <v>37</v>
      </c>
      <c r="E45" s="2">
        <v>4.1055000000000001</v>
      </c>
      <c r="F45" s="2">
        <v>3.2519</v>
      </c>
      <c r="G45" s="2">
        <v>2.8588</v>
      </c>
      <c r="H45" s="2">
        <v>2.6261000000000001</v>
      </c>
      <c r="I45" s="2">
        <v>2.4695999999999998</v>
      </c>
      <c r="J45" s="2">
        <v>2.3561999999999999</v>
      </c>
      <c r="K45" s="2">
        <v>2.2694999999999999</v>
      </c>
      <c r="L45" s="2">
        <v>2.2008000000000001</v>
      </c>
      <c r="M45" s="2">
        <v>2.1448999999999998</v>
      </c>
      <c r="N45" s="2">
        <v>2.0981999999999998</v>
      </c>
      <c r="O45" s="2">
        <v>2.0587</v>
      </c>
      <c r="P45" s="2">
        <v>2.0247999999999999</v>
      </c>
      <c r="Q45" s="2">
        <v>1.9952000000000001</v>
      </c>
      <c r="R45" s="2">
        <v>1.9692000000000001</v>
      </c>
      <c r="S45" s="2">
        <v>1.9461999999999999</v>
      </c>
      <c r="T45" s="2">
        <v>1.9256</v>
      </c>
      <c r="U45" s="2">
        <v>1.9071</v>
      </c>
      <c r="V45" s="2">
        <v>1.8904000000000001</v>
      </c>
      <c r="W45" s="2">
        <v>1.8752</v>
      </c>
      <c r="X45" s="2">
        <v>1.8613</v>
      </c>
    </row>
    <row r="46" spans="4:24" x14ac:dyDescent="0.2">
      <c r="D46" s="1">
        <v>38</v>
      </c>
      <c r="E46" s="2">
        <v>4.0980999999999996</v>
      </c>
      <c r="F46" s="2">
        <v>3.2448000000000001</v>
      </c>
      <c r="G46" s="2">
        <v>2.8517000000000001</v>
      </c>
      <c r="H46" s="2">
        <v>2.6190000000000002</v>
      </c>
      <c r="I46" s="2">
        <v>2.4624999999999999</v>
      </c>
      <c r="J46" s="2">
        <v>2.3490000000000002</v>
      </c>
      <c r="K46" s="2">
        <v>2.2623000000000002</v>
      </c>
      <c r="L46" s="2">
        <v>2.1934999999999998</v>
      </c>
      <c r="M46" s="2">
        <v>2.1375000000000002</v>
      </c>
      <c r="N46" s="2">
        <v>2.0909</v>
      </c>
      <c r="O46" s="2">
        <v>2.0512999999999999</v>
      </c>
      <c r="P46" s="2">
        <v>2.0173000000000001</v>
      </c>
      <c r="Q46" s="2">
        <v>1.9877</v>
      </c>
      <c r="R46" s="2">
        <v>1.9617</v>
      </c>
      <c r="S46" s="2">
        <v>1.9386000000000001</v>
      </c>
      <c r="T46" s="2">
        <v>1.9178999999999999</v>
      </c>
      <c r="U46" s="2">
        <v>1.8994</v>
      </c>
      <c r="V46" s="2">
        <v>1.8826000000000001</v>
      </c>
      <c r="W46" s="2">
        <v>1.8673</v>
      </c>
      <c r="X46" s="2">
        <v>1.8533999999999999</v>
      </c>
    </row>
    <row r="47" spans="4:24" x14ac:dyDescent="0.2">
      <c r="D47" s="1">
        <v>39</v>
      </c>
      <c r="E47" s="2">
        <v>4.0913000000000004</v>
      </c>
      <c r="F47" s="2">
        <v>3.2381000000000002</v>
      </c>
      <c r="G47" s="2">
        <v>2.8451</v>
      </c>
      <c r="H47" s="2">
        <v>2.6122999999999998</v>
      </c>
      <c r="I47" s="2">
        <v>2.4558</v>
      </c>
      <c r="J47" s="2">
        <v>2.3422000000000001</v>
      </c>
      <c r="K47" s="2">
        <v>2.2555000000000001</v>
      </c>
      <c r="L47" s="2">
        <v>2.1867000000000001</v>
      </c>
      <c r="M47" s="2">
        <v>2.1305999999999998</v>
      </c>
      <c r="N47" s="2">
        <v>2.0838999999999999</v>
      </c>
      <c r="O47" s="2">
        <v>2.0442</v>
      </c>
      <c r="P47" s="2">
        <v>2.0102000000000002</v>
      </c>
      <c r="Q47" s="2">
        <v>1.9804999999999999</v>
      </c>
      <c r="R47" s="2">
        <v>1.9544999999999999</v>
      </c>
      <c r="S47" s="2">
        <v>1.9313</v>
      </c>
      <c r="T47" s="2">
        <v>1.9107000000000001</v>
      </c>
      <c r="U47" s="2">
        <v>1.8920999999999999</v>
      </c>
      <c r="V47" s="2">
        <v>1.8752</v>
      </c>
      <c r="W47" s="2">
        <v>1.8599000000000001</v>
      </c>
      <c r="X47" s="2">
        <v>1.8459000000000001</v>
      </c>
    </row>
    <row r="48" spans="4:24" x14ac:dyDescent="0.2">
      <c r="D48" s="1">
        <v>40</v>
      </c>
      <c r="E48" s="2">
        <v>4.0848000000000004</v>
      </c>
      <c r="F48" s="2">
        <v>3.2317</v>
      </c>
      <c r="G48" s="2">
        <v>2.8388</v>
      </c>
      <c r="H48" s="2">
        <v>2.6059999999999999</v>
      </c>
      <c r="I48" s="2">
        <v>2.4495</v>
      </c>
      <c r="J48" s="2">
        <v>2.3359000000000001</v>
      </c>
      <c r="K48" s="2">
        <v>2.2490000000000001</v>
      </c>
      <c r="L48" s="2">
        <v>2.1802000000000001</v>
      </c>
      <c r="M48" s="2">
        <v>2.1240000000000001</v>
      </c>
      <c r="N48" s="2">
        <v>2.0773000000000001</v>
      </c>
      <c r="O48" s="2">
        <v>2.0375999999999999</v>
      </c>
      <c r="P48" s="2">
        <v>2.0034999999999998</v>
      </c>
      <c r="Q48" s="2">
        <v>1.9738</v>
      </c>
      <c r="R48" s="2">
        <v>1.9476</v>
      </c>
      <c r="S48" s="2">
        <v>1.9245000000000001</v>
      </c>
      <c r="T48" s="2">
        <v>1.9037999999999999</v>
      </c>
      <c r="U48" s="2">
        <v>1.8851</v>
      </c>
      <c r="V48" s="2">
        <v>1.8682000000000001</v>
      </c>
      <c r="W48" s="2">
        <v>1.8529</v>
      </c>
      <c r="X48" s="2">
        <v>1.8389</v>
      </c>
    </row>
    <row r="49" spans="4:24" x14ac:dyDescent="0.2">
      <c r="D49" s="1" t="s">
        <v>15</v>
      </c>
      <c r="E49" s="1">
        <v>1</v>
      </c>
      <c r="F49" s="1">
        <v>2</v>
      </c>
      <c r="G49" s="1">
        <v>3</v>
      </c>
      <c r="H49" s="1">
        <v>4</v>
      </c>
      <c r="I49" s="1">
        <v>5</v>
      </c>
      <c r="J49" s="1">
        <v>6</v>
      </c>
      <c r="K49" s="1">
        <v>7</v>
      </c>
      <c r="L49" s="1">
        <v>8</v>
      </c>
      <c r="M49" s="1">
        <v>9</v>
      </c>
      <c r="N49" s="1">
        <v>10</v>
      </c>
      <c r="O49" s="1">
        <v>11</v>
      </c>
      <c r="P49" s="1">
        <v>12</v>
      </c>
      <c r="Q49" s="1">
        <v>13</v>
      </c>
      <c r="R49" s="1">
        <v>14</v>
      </c>
      <c r="S49" s="1">
        <v>15</v>
      </c>
      <c r="T49" s="1">
        <v>16</v>
      </c>
      <c r="U49" s="1">
        <v>17</v>
      </c>
      <c r="V49" s="1">
        <v>18</v>
      </c>
      <c r="W49" s="1">
        <v>19</v>
      </c>
      <c r="X49" s="1">
        <v>20</v>
      </c>
    </row>
    <row r="50" spans="4:24" x14ac:dyDescent="0.2">
      <c r="D50" s="1" t="s">
        <v>16</v>
      </c>
      <c r="E50" s="1" t="s">
        <v>17</v>
      </c>
      <c r="F50" s="1"/>
      <c r="G50" s="1"/>
      <c r="H50" s="1"/>
      <c r="I50" s="1"/>
      <c r="J50" s="1"/>
      <c r="K50" s="1"/>
      <c r="L50" s="1"/>
      <c r="M50" s="1"/>
      <c r="N50" s="1"/>
      <c r="O50" s="1"/>
      <c r="P50" s="1"/>
      <c r="Q50" s="1"/>
      <c r="R50" s="1"/>
      <c r="S50" s="1"/>
      <c r="T50" s="1"/>
      <c r="U50" s="1"/>
      <c r="V50" s="1"/>
      <c r="W50" s="1"/>
      <c r="X50" s="1"/>
    </row>
    <row r="51" spans="4:24" x14ac:dyDescent="0.2">
      <c r="D51" s="1">
        <v>41</v>
      </c>
      <c r="E51" s="2">
        <v>4.0785999999999998</v>
      </c>
      <c r="F51" s="2">
        <v>3.2256999999999998</v>
      </c>
      <c r="G51" s="2">
        <v>2.8328000000000002</v>
      </c>
      <c r="H51" s="2">
        <v>2.6</v>
      </c>
      <c r="I51" s="2">
        <v>2.4434</v>
      </c>
      <c r="J51" s="2">
        <v>2.3298000000000001</v>
      </c>
      <c r="K51" s="2">
        <v>2.2429000000000001</v>
      </c>
      <c r="L51" s="2">
        <v>2.1739999999999999</v>
      </c>
      <c r="M51" s="2">
        <v>2.1177999999999999</v>
      </c>
      <c r="N51" s="2">
        <v>2.0710000000000002</v>
      </c>
      <c r="O51" s="2">
        <v>2.0312000000000001</v>
      </c>
      <c r="P51" s="2">
        <v>1.9971000000000001</v>
      </c>
      <c r="Q51" s="2">
        <v>1.9673</v>
      </c>
      <c r="R51" s="2">
        <v>1.9412</v>
      </c>
      <c r="S51" s="2">
        <v>1.9178999999999999</v>
      </c>
      <c r="T51" s="2">
        <v>1.8972</v>
      </c>
      <c r="U51" s="2">
        <v>1.8785000000000001</v>
      </c>
      <c r="V51" s="2">
        <v>1.8615999999999999</v>
      </c>
      <c r="W51" s="2">
        <v>1.8462000000000001</v>
      </c>
      <c r="X51" s="2">
        <v>1.8321000000000001</v>
      </c>
    </row>
    <row r="52" spans="4:24" x14ac:dyDescent="0.2">
      <c r="D52" s="1">
        <v>42</v>
      </c>
      <c r="E52" s="2">
        <v>4.0727000000000002</v>
      </c>
      <c r="F52" s="2">
        <v>3.2199</v>
      </c>
      <c r="G52" s="2">
        <v>2.8271000000000002</v>
      </c>
      <c r="H52" s="2">
        <v>2.5943000000000001</v>
      </c>
      <c r="I52" s="2">
        <v>2.4377</v>
      </c>
      <c r="J52" s="2">
        <v>2.3239999999999998</v>
      </c>
      <c r="K52" s="2">
        <v>2.2370999999999999</v>
      </c>
      <c r="L52" s="2">
        <v>2.1680999999999999</v>
      </c>
      <c r="M52" s="2">
        <v>2.1118999999999999</v>
      </c>
      <c r="N52" s="2">
        <v>2.0649999999999999</v>
      </c>
      <c r="O52" s="2">
        <v>2.0251999999999999</v>
      </c>
      <c r="P52" s="2">
        <v>1.9910000000000001</v>
      </c>
      <c r="Q52" s="2">
        <v>1.9612000000000001</v>
      </c>
      <c r="R52" s="2">
        <v>1.9350000000000001</v>
      </c>
      <c r="S52" s="2">
        <v>1.9117999999999999</v>
      </c>
      <c r="T52" s="2">
        <v>1.8909</v>
      </c>
      <c r="U52" s="2">
        <v>1.8722000000000001</v>
      </c>
      <c r="V52" s="2">
        <v>1.8552999999999999</v>
      </c>
      <c r="W52" s="2">
        <v>1.8399000000000001</v>
      </c>
      <c r="X52" s="2">
        <v>1.8258000000000001</v>
      </c>
    </row>
    <row r="53" spans="4:24" x14ac:dyDescent="0.2">
      <c r="D53" s="1">
        <v>43</v>
      </c>
      <c r="E53" s="2">
        <v>4.0670000000000002</v>
      </c>
      <c r="F53" s="2">
        <v>3.2145000000000001</v>
      </c>
      <c r="G53" s="2">
        <v>2.8216000000000001</v>
      </c>
      <c r="H53" s="2">
        <v>2.5888</v>
      </c>
      <c r="I53" s="2">
        <v>2.4321999999999999</v>
      </c>
      <c r="J53" s="2">
        <v>2.3184999999999998</v>
      </c>
      <c r="K53" s="2">
        <v>2.2315</v>
      </c>
      <c r="L53" s="2">
        <v>2.1625000000000001</v>
      </c>
      <c r="M53" s="2">
        <v>2.1061999999999999</v>
      </c>
      <c r="N53" s="2">
        <v>2.0592999999999999</v>
      </c>
      <c r="O53" s="2">
        <v>2.0194999999999999</v>
      </c>
      <c r="P53" s="2">
        <v>1.9852000000000001</v>
      </c>
      <c r="Q53" s="2">
        <v>1.9554</v>
      </c>
      <c r="R53" s="2">
        <v>1.9292</v>
      </c>
      <c r="S53" s="2">
        <v>1.9058999999999999</v>
      </c>
      <c r="T53" s="2">
        <v>1.885</v>
      </c>
      <c r="U53" s="2">
        <v>1.8663000000000001</v>
      </c>
      <c r="V53" s="2">
        <v>1.8492999999999999</v>
      </c>
      <c r="W53" s="2">
        <v>1.8338000000000001</v>
      </c>
      <c r="X53" s="2">
        <v>1.8197000000000001</v>
      </c>
    </row>
    <row r="54" spans="4:24" x14ac:dyDescent="0.2">
      <c r="D54" s="1">
        <v>44</v>
      </c>
      <c r="E54" s="2">
        <v>4.0617000000000001</v>
      </c>
      <c r="F54" s="2">
        <v>3.2092999999999998</v>
      </c>
      <c r="G54" s="2">
        <v>2.8165</v>
      </c>
      <c r="H54" s="2">
        <v>2.5836999999999999</v>
      </c>
      <c r="I54" s="2">
        <v>2.4270999999999998</v>
      </c>
      <c r="J54" s="2">
        <v>2.3132999999999999</v>
      </c>
      <c r="K54" s="2">
        <v>2.2262</v>
      </c>
      <c r="L54" s="2">
        <v>2.1572</v>
      </c>
      <c r="M54" s="2">
        <v>2.1009000000000002</v>
      </c>
      <c r="N54" s="2">
        <v>2.0539000000000001</v>
      </c>
      <c r="O54" s="2">
        <v>2.0139999999999998</v>
      </c>
      <c r="P54" s="2">
        <v>1.9797</v>
      </c>
      <c r="Q54" s="2">
        <v>1.9499</v>
      </c>
      <c r="R54" s="2">
        <v>1.9236</v>
      </c>
      <c r="S54" s="2">
        <v>1.9001999999999999</v>
      </c>
      <c r="T54" s="2">
        <v>1.8794</v>
      </c>
      <c r="U54" s="2">
        <v>1.8606</v>
      </c>
      <c r="V54" s="2">
        <v>1.8435999999999999</v>
      </c>
      <c r="W54" s="2">
        <v>1.8281000000000001</v>
      </c>
      <c r="X54" s="2">
        <v>1.8139000000000001</v>
      </c>
    </row>
    <row r="55" spans="4:24" x14ac:dyDescent="0.2">
      <c r="D55" s="1">
        <v>45</v>
      </c>
      <c r="E55" s="2">
        <v>4.0566000000000004</v>
      </c>
      <c r="F55" s="2">
        <v>3.2042999999999999</v>
      </c>
      <c r="G55" s="2">
        <v>2.8115000000000001</v>
      </c>
      <c r="H55" s="2">
        <v>2.5787</v>
      </c>
      <c r="I55" s="2">
        <v>2.4220999999999999</v>
      </c>
      <c r="J55" s="2">
        <v>2.3083</v>
      </c>
      <c r="K55" s="2">
        <v>2.2212000000000001</v>
      </c>
      <c r="L55" s="2">
        <v>2.1520999999999999</v>
      </c>
      <c r="M55" s="2">
        <v>2.0958000000000001</v>
      </c>
      <c r="N55" s="2">
        <v>2.0487000000000002</v>
      </c>
      <c r="O55" s="2">
        <v>2.0087999999999999</v>
      </c>
      <c r="P55" s="2">
        <v>1.9744999999999999</v>
      </c>
      <c r="Q55" s="2">
        <v>1.9446000000000001</v>
      </c>
      <c r="R55" s="2">
        <v>1.9181999999999999</v>
      </c>
      <c r="S55" s="2">
        <v>1.8949</v>
      </c>
      <c r="T55" s="2">
        <v>1.8740000000000001</v>
      </c>
      <c r="U55" s="2">
        <v>1.8551</v>
      </c>
      <c r="V55" s="2">
        <v>1.8381000000000001</v>
      </c>
      <c r="W55" s="2">
        <v>1.8226</v>
      </c>
      <c r="X55" s="2">
        <v>1.8084</v>
      </c>
    </row>
    <row r="56" spans="4:24" x14ac:dyDescent="0.2">
      <c r="D56" s="1">
        <v>46</v>
      </c>
      <c r="E56" s="2">
        <v>4.0518000000000001</v>
      </c>
      <c r="F56" s="2">
        <v>3.1996000000000002</v>
      </c>
      <c r="G56" s="2">
        <v>2.8068</v>
      </c>
      <c r="H56" s="2">
        <v>2.5739999999999998</v>
      </c>
      <c r="I56" s="2">
        <v>2.4174000000000002</v>
      </c>
      <c r="J56" s="2">
        <v>2.3035000000000001</v>
      </c>
      <c r="K56" s="2">
        <v>2.2164000000000001</v>
      </c>
      <c r="L56" s="2">
        <v>2.1473</v>
      </c>
      <c r="M56" s="2">
        <v>2.0909</v>
      </c>
      <c r="N56" s="2">
        <v>2.0438000000000001</v>
      </c>
      <c r="O56" s="2">
        <v>2.0038999999999998</v>
      </c>
      <c r="P56" s="2">
        <v>1.9695</v>
      </c>
      <c r="Q56" s="2">
        <v>1.9395</v>
      </c>
      <c r="R56" s="2">
        <v>1.9132</v>
      </c>
      <c r="S56" s="2">
        <v>1.8897999999999999</v>
      </c>
      <c r="T56" s="2">
        <v>1.8688</v>
      </c>
      <c r="U56" s="2">
        <v>1.85</v>
      </c>
      <c r="V56" s="2">
        <v>1.8329</v>
      </c>
      <c r="W56" s="2">
        <v>1.8172999999999999</v>
      </c>
      <c r="X56" s="2">
        <v>1.8030999999999999</v>
      </c>
    </row>
    <row r="57" spans="4:24" x14ac:dyDescent="0.2">
      <c r="D57" s="1">
        <v>47</v>
      </c>
      <c r="E57" s="2">
        <v>4.0471000000000004</v>
      </c>
      <c r="F57" s="2">
        <v>3.1951000000000001</v>
      </c>
      <c r="G57" s="2">
        <v>2.8024</v>
      </c>
      <c r="H57" s="2">
        <v>2.5695000000000001</v>
      </c>
      <c r="I57" s="2">
        <v>2.4127999999999998</v>
      </c>
      <c r="J57" s="2">
        <v>2.2989999999999999</v>
      </c>
      <c r="K57" s="2">
        <v>2.2118000000000002</v>
      </c>
      <c r="L57" s="2">
        <v>2.1427</v>
      </c>
      <c r="M57" s="2">
        <v>2.0861999999999998</v>
      </c>
      <c r="N57" s="2">
        <v>2.0390999999999999</v>
      </c>
      <c r="O57" s="2">
        <v>1.9991000000000001</v>
      </c>
      <c r="P57" s="2">
        <v>1.9646999999999999</v>
      </c>
      <c r="Q57" s="2">
        <v>1.9347000000000001</v>
      </c>
      <c r="R57" s="2">
        <v>1.9083000000000001</v>
      </c>
      <c r="S57" s="2">
        <v>1.8849</v>
      </c>
      <c r="T57" s="2">
        <v>1.8638999999999999</v>
      </c>
      <c r="U57" s="2">
        <v>1.845</v>
      </c>
      <c r="V57" s="2">
        <v>1.8279000000000001</v>
      </c>
      <c r="W57" s="2">
        <v>1.8123</v>
      </c>
      <c r="X57" s="2">
        <v>1.798</v>
      </c>
    </row>
    <row r="58" spans="4:24" x14ac:dyDescent="0.2">
      <c r="D58" s="1">
        <v>48</v>
      </c>
      <c r="E58" s="2">
        <v>4.0426000000000002</v>
      </c>
      <c r="F58" s="2">
        <v>3.1907000000000001</v>
      </c>
      <c r="G58" s="2">
        <v>2.7980999999999998</v>
      </c>
      <c r="H58" s="2">
        <v>2.5653000000000001</v>
      </c>
      <c r="I58" s="2">
        <v>2.4085000000000001</v>
      </c>
      <c r="J58" s="2">
        <v>2.2946</v>
      </c>
      <c r="K58" s="2">
        <v>2.2073999999999998</v>
      </c>
      <c r="L58" s="2">
        <v>2.1381999999999999</v>
      </c>
      <c r="M58" s="2">
        <v>2.0817000000000001</v>
      </c>
      <c r="N58" s="2">
        <v>2.0346000000000002</v>
      </c>
      <c r="O58" s="2">
        <v>1.9945999999999999</v>
      </c>
      <c r="P58" s="2">
        <v>1.9601</v>
      </c>
      <c r="Q58" s="2">
        <v>1.9300999999999999</v>
      </c>
      <c r="R58" s="2">
        <v>1.9036999999999999</v>
      </c>
      <c r="S58" s="2">
        <v>1.8802000000000001</v>
      </c>
      <c r="T58" s="2">
        <v>1.8592</v>
      </c>
      <c r="U58" s="2">
        <v>1.8402000000000001</v>
      </c>
      <c r="V58" s="2">
        <v>1.8230999999999999</v>
      </c>
      <c r="W58" s="2">
        <v>1.8075000000000001</v>
      </c>
      <c r="X58" s="2">
        <v>1.7931999999999999</v>
      </c>
    </row>
    <row r="59" spans="4:24" x14ac:dyDescent="0.2">
      <c r="D59" s="1">
        <v>49</v>
      </c>
      <c r="E59" s="2">
        <v>4.0384000000000002</v>
      </c>
      <c r="F59" s="2">
        <v>3.1865999999999999</v>
      </c>
      <c r="G59" s="2">
        <v>2.7938999999999998</v>
      </c>
      <c r="H59" s="2">
        <v>2.5611000000000002</v>
      </c>
      <c r="I59" s="2">
        <v>2.4043999999999999</v>
      </c>
      <c r="J59" s="2">
        <v>2.2904</v>
      </c>
      <c r="K59" s="2">
        <v>2.2031999999999998</v>
      </c>
      <c r="L59" s="2">
        <v>2.1339999999999999</v>
      </c>
      <c r="M59" s="2">
        <v>2.0773999999999999</v>
      </c>
      <c r="N59" s="2">
        <v>2.0303</v>
      </c>
      <c r="O59" s="2">
        <v>1.9902</v>
      </c>
      <c r="P59" s="2">
        <v>1.9558</v>
      </c>
      <c r="Q59" s="2">
        <v>1.9257</v>
      </c>
      <c r="R59" s="2">
        <v>1.8992</v>
      </c>
      <c r="S59" s="2">
        <v>1.8756999999999999</v>
      </c>
      <c r="T59" s="2">
        <v>1.8547</v>
      </c>
      <c r="U59" s="2">
        <v>1.8357000000000001</v>
      </c>
      <c r="V59" s="2">
        <v>1.8185</v>
      </c>
      <c r="W59" s="2">
        <v>1.8028999999999999</v>
      </c>
      <c r="X59" s="2">
        <v>1.7886</v>
      </c>
    </row>
    <row r="60" spans="4:24" x14ac:dyDescent="0.2">
      <c r="D60" s="1">
        <v>50</v>
      </c>
      <c r="E60" s="2">
        <v>4.0343</v>
      </c>
      <c r="F60" s="2">
        <v>3.1825999999999999</v>
      </c>
      <c r="G60" s="2">
        <v>2.79</v>
      </c>
      <c r="H60" s="2">
        <v>2.5571999999999999</v>
      </c>
      <c r="I60" s="2">
        <v>2.4003999999999999</v>
      </c>
      <c r="J60" s="2">
        <v>2.2864</v>
      </c>
      <c r="K60" s="2">
        <v>2.1991999999999998</v>
      </c>
      <c r="L60" s="2">
        <v>2.1299000000000001</v>
      </c>
      <c r="M60" s="2">
        <v>2.0733999999999999</v>
      </c>
      <c r="N60" s="2">
        <v>2.0261</v>
      </c>
      <c r="O60" s="2">
        <v>1.9861</v>
      </c>
      <c r="P60" s="2">
        <v>1.9515</v>
      </c>
      <c r="Q60" s="2">
        <v>1.9214</v>
      </c>
      <c r="R60" s="2">
        <v>1.8949</v>
      </c>
      <c r="S60" s="2">
        <v>1.8714</v>
      </c>
      <c r="T60" s="2">
        <v>1.8503000000000001</v>
      </c>
      <c r="U60" s="2">
        <v>1.8312999999999999</v>
      </c>
      <c r="V60" s="2">
        <v>1.8141</v>
      </c>
      <c r="W60" s="2">
        <v>1.7985</v>
      </c>
      <c r="X60" s="2">
        <v>1.7841</v>
      </c>
    </row>
    <row r="61" spans="4:24" x14ac:dyDescent="0.2">
      <c r="D61" s="1">
        <v>51</v>
      </c>
      <c r="E61" s="2">
        <v>4.0303000000000004</v>
      </c>
      <c r="F61" s="2">
        <v>3.1787999999999998</v>
      </c>
      <c r="G61" s="2">
        <v>2.7862</v>
      </c>
      <c r="H61" s="2">
        <v>2.5533999999999999</v>
      </c>
      <c r="I61" s="2">
        <v>2.3965999999999998</v>
      </c>
      <c r="J61" s="2">
        <v>2.2826</v>
      </c>
      <c r="K61" s="2">
        <v>2.1953</v>
      </c>
      <c r="L61" s="2">
        <v>2.1259999999999999</v>
      </c>
      <c r="M61" s="2">
        <v>2.0693999999999999</v>
      </c>
      <c r="N61" s="2">
        <v>2.0222000000000002</v>
      </c>
      <c r="O61" s="2">
        <v>1.982</v>
      </c>
      <c r="P61" s="2">
        <v>1.9475</v>
      </c>
      <c r="Q61" s="2">
        <v>1.9174</v>
      </c>
      <c r="R61" s="2">
        <v>1.8908</v>
      </c>
      <c r="S61" s="2">
        <v>1.8673</v>
      </c>
      <c r="T61" s="2">
        <v>1.8462000000000001</v>
      </c>
      <c r="U61" s="2">
        <v>1.8271999999999999</v>
      </c>
      <c r="V61" s="2">
        <v>1.8099000000000001</v>
      </c>
      <c r="W61" s="2">
        <v>1.7942</v>
      </c>
      <c r="X61" s="2">
        <v>1.7798</v>
      </c>
    </row>
    <row r="62" spans="4:24" x14ac:dyDescent="0.2">
      <c r="D62" s="1">
        <v>52</v>
      </c>
      <c r="E62" s="2">
        <v>4.0266000000000002</v>
      </c>
      <c r="F62" s="2">
        <v>3.1751999999999998</v>
      </c>
      <c r="G62" s="2">
        <v>2.7826</v>
      </c>
      <c r="H62" s="2">
        <v>2.5497999999999998</v>
      </c>
      <c r="I62" s="2">
        <v>2.3929</v>
      </c>
      <c r="J62" s="2">
        <v>2.2789000000000001</v>
      </c>
      <c r="K62" s="2">
        <v>2.1916000000000002</v>
      </c>
      <c r="L62" s="2">
        <v>2.1223000000000001</v>
      </c>
      <c r="M62" s="2">
        <v>2.0655999999999999</v>
      </c>
      <c r="N62" s="2">
        <v>2.0184000000000002</v>
      </c>
      <c r="O62" s="2">
        <v>1.9782</v>
      </c>
      <c r="P62" s="2">
        <v>1.9436</v>
      </c>
      <c r="Q62" s="2">
        <v>1.9134</v>
      </c>
      <c r="R62" s="2">
        <v>1.8869</v>
      </c>
      <c r="S62" s="2">
        <v>1.8633</v>
      </c>
      <c r="T62" s="2">
        <v>1.8422000000000001</v>
      </c>
      <c r="U62" s="2">
        <v>1.8230999999999999</v>
      </c>
      <c r="V62" s="2">
        <v>1.8059000000000001</v>
      </c>
      <c r="W62" s="2">
        <v>1.7901</v>
      </c>
      <c r="X62" s="2">
        <v>1.7758</v>
      </c>
    </row>
    <row r="63" spans="4:24" x14ac:dyDescent="0.2">
      <c r="D63" s="1">
        <v>53</v>
      </c>
      <c r="E63" s="2">
        <v>4.0229999999999997</v>
      </c>
      <c r="F63" s="2">
        <v>3.1716000000000002</v>
      </c>
      <c r="G63" s="2">
        <v>2.7791000000000001</v>
      </c>
      <c r="H63" s="2">
        <v>2.5463</v>
      </c>
      <c r="I63" s="2">
        <v>2.3894000000000002</v>
      </c>
      <c r="J63" s="2">
        <v>2.2753999999999999</v>
      </c>
      <c r="K63" s="2">
        <v>2.1880999999999999</v>
      </c>
      <c r="L63" s="2">
        <v>2.1187</v>
      </c>
      <c r="M63" s="2">
        <v>2.0619999999999998</v>
      </c>
      <c r="N63" s="2">
        <v>2.0146999999999999</v>
      </c>
      <c r="O63" s="2">
        <v>1.9744999999999999</v>
      </c>
      <c r="P63" s="2">
        <v>1.9399</v>
      </c>
      <c r="Q63" s="2">
        <v>1.9097</v>
      </c>
      <c r="R63" s="2">
        <v>1.8831</v>
      </c>
      <c r="S63" s="2">
        <v>1.8594999999999999</v>
      </c>
      <c r="T63" s="2">
        <v>1.8383</v>
      </c>
      <c r="U63" s="2">
        <v>1.8192999999999999</v>
      </c>
      <c r="V63" s="2">
        <v>1.802</v>
      </c>
      <c r="W63" s="2">
        <v>1.7862</v>
      </c>
      <c r="X63" s="2">
        <v>1.7718</v>
      </c>
    </row>
    <row r="64" spans="4:24" x14ac:dyDescent="0.2">
      <c r="D64" s="1">
        <v>54</v>
      </c>
      <c r="E64" s="2">
        <v>4.0195999999999996</v>
      </c>
      <c r="F64" s="2">
        <v>3.1682999999999999</v>
      </c>
      <c r="G64" s="2">
        <v>2.7757000000000001</v>
      </c>
      <c r="H64" s="2">
        <v>2.5428999999999999</v>
      </c>
      <c r="I64" s="2">
        <v>2.3860999999999999</v>
      </c>
      <c r="J64" s="2">
        <v>2.2719999999999998</v>
      </c>
      <c r="K64" s="2">
        <v>2.1846000000000001</v>
      </c>
      <c r="L64" s="2">
        <v>2.1152000000000002</v>
      </c>
      <c r="M64" s="2">
        <v>2.0585</v>
      </c>
      <c r="N64" s="2">
        <v>2.0112000000000001</v>
      </c>
      <c r="O64" s="2">
        <v>1.9710000000000001</v>
      </c>
      <c r="P64" s="2">
        <v>1.9362999999999999</v>
      </c>
      <c r="Q64" s="2">
        <v>1.9060999999999999</v>
      </c>
      <c r="R64" s="2">
        <v>1.8794999999999999</v>
      </c>
      <c r="S64" s="2">
        <v>1.8557999999999999</v>
      </c>
      <c r="T64" s="2">
        <v>1.8346</v>
      </c>
      <c r="U64" s="2">
        <v>1.8154999999999999</v>
      </c>
      <c r="V64" s="2">
        <v>1.7982</v>
      </c>
      <c r="W64" s="2">
        <v>1.7825</v>
      </c>
      <c r="X64" s="2">
        <v>1.768</v>
      </c>
    </row>
    <row r="65" spans="4:24" x14ac:dyDescent="0.2">
      <c r="D65" s="1">
        <v>55</v>
      </c>
      <c r="E65" s="2">
        <v>4.0162000000000004</v>
      </c>
      <c r="F65" s="2">
        <v>3.165</v>
      </c>
      <c r="G65" s="2">
        <v>2.7725</v>
      </c>
      <c r="H65" s="2">
        <v>2.5396999999999998</v>
      </c>
      <c r="I65" s="2">
        <v>2.3828</v>
      </c>
      <c r="J65" s="2">
        <v>2.2686999999999999</v>
      </c>
      <c r="K65" s="2">
        <v>2.1812999999999998</v>
      </c>
      <c r="L65" s="2">
        <v>2.1118999999999999</v>
      </c>
      <c r="M65" s="2">
        <v>2.0552000000000001</v>
      </c>
      <c r="N65" s="2">
        <v>2.0078</v>
      </c>
      <c r="O65" s="2">
        <v>1.9676</v>
      </c>
      <c r="P65" s="2">
        <v>1.9329000000000001</v>
      </c>
      <c r="Q65" s="2">
        <v>1.9026000000000001</v>
      </c>
      <c r="R65" s="2">
        <v>1.8759999999999999</v>
      </c>
      <c r="S65" s="2">
        <v>1.8523000000000001</v>
      </c>
      <c r="T65" s="2">
        <v>1.8310999999999999</v>
      </c>
      <c r="U65" s="2">
        <v>1.8120000000000001</v>
      </c>
      <c r="V65" s="2">
        <v>1.7946</v>
      </c>
      <c r="W65" s="2">
        <v>1.7787999999999999</v>
      </c>
      <c r="X65" s="2">
        <v>1.7644</v>
      </c>
    </row>
    <row r="66" spans="4:24" x14ac:dyDescent="0.2">
      <c r="D66" s="1">
        <v>56</v>
      </c>
      <c r="E66" s="2">
        <v>4.0129000000000001</v>
      </c>
      <c r="F66" s="2">
        <v>3.1617999999999999</v>
      </c>
      <c r="G66" s="2">
        <v>2.7694000000000001</v>
      </c>
      <c r="H66" s="2">
        <v>2.5366</v>
      </c>
      <c r="I66" s="2">
        <v>2.3797000000000001</v>
      </c>
      <c r="J66" s="2">
        <v>2.2656000000000001</v>
      </c>
      <c r="K66" s="2">
        <v>2.1781000000000001</v>
      </c>
      <c r="L66" s="2">
        <v>2.1086999999999998</v>
      </c>
      <c r="M66" s="2">
        <v>2.0518999999999998</v>
      </c>
      <c r="N66" s="2">
        <v>2.0045000000000002</v>
      </c>
      <c r="O66" s="2">
        <v>1.9641999999999999</v>
      </c>
      <c r="P66" s="2">
        <v>1.9296</v>
      </c>
      <c r="Q66" s="2">
        <v>1.8993</v>
      </c>
      <c r="R66" s="2">
        <v>1.8726</v>
      </c>
      <c r="S66" s="2">
        <v>1.8489</v>
      </c>
      <c r="T66" s="2">
        <v>1.8275999999999999</v>
      </c>
      <c r="U66" s="2">
        <v>1.8085</v>
      </c>
      <c r="V66" s="2">
        <v>1.7911999999999999</v>
      </c>
      <c r="W66" s="2">
        <v>1.7753000000000001</v>
      </c>
      <c r="X66" s="2">
        <v>1.7607999999999999</v>
      </c>
    </row>
    <row r="67" spans="4:24" x14ac:dyDescent="0.2">
      <c r="D67" s="1">
        <v>57</v>
      </c>
      <c r="E67" s="2">
        <v>4.0099</v>
      </c>
      <c r="F67" s="2">
        <v>3.1589</v>
      </c>
      <c r="G67" s="2">
        <v>2.7665000000000002</v>
      </c>
      <c r="H67" s="2">
        <v>2.5335999999999999</v>
      </c>
      <c r="I67" s="2">
        <v>2.3767</v>
      </c>
      <c r="J67" s="2">
        <v>2.2625000000000002</v>
      </c>
      <c r="K67" s="2">
        <v>2.1751</v>
      </c>
      <c r="L67" s="2">
        <v>2.1055999999999999</v>
      </c>
      <c r="M67" s="2">
        <v>2.0488</v>
      </c>
      <c r="N67" s="2">
        <v>2.0013999999999998</v>
      </c>
      <c r="O67" s="2">
        <v>1.9611000000000001</v>
      </c>
      <c r="P67" s="2">
        <v>1.9263999999999999</v>
      </c>
      <c r="Q67" s="2">
        <v>1.8959999999999999</v>
      </c>
      <c r="R67" s="2">
        <v>1.8693</v>
      </c>
      <c r="S67" s="2">
        <v>1.8455999999999999</v>
      </c>
      <c r="T67" s="2">
        <v>1.8244</v>
      </c>
      <c r="U67" s="2">
        <v>1.8051999999999999</v>
      </c>
      <c r="V67" s="2">
        <v>1.7878000000000001</v>
      </c>
      <c r="W67" s="2">
        <v>1.772</v>
      </c>
      <c r="X67" s="2">
        <v>1.7575000000000001</v>
      </c>
    </row>
    <row r="68" spans="4:24" x14ac:dyDescent="0.2">
      <c r="D68" s="1">
        <v>58</v>
      </c>
      <c r="E68" s="2">
        <v>4.0068999999999999</v>
      </c>
      <c r="F68" s="2">
        <v>3.1558999999999999</v>
      </c>
      <c r="G68" s="2">
        <v>2.7635000000000001</v>
      </c>
      <c r="H68" s="2">
        <v>2.5306999999999999</v>
      </c>
      <c r="I68" s="2">
        <v>2.3738000000000001</v>
      </c>
      <c r="J68" s="2">
        <v>2.2595999999999998</v>
      </c>
      <c r="K68" s="2">
        <v>2.1720999999999999</v>
      </c>
      <c r="L68" s="2">
        <v>2.1025999999999998</v>
      </c>
      <c r="M68" s="2">
        <v>2.0457999999999998</v>
      </c>
      <c r="N68" s="2">
        <v>1.9983</v>
      </c>
      <c r="O68" s="2">
        <v>1.958</v>
      </c>
      <c r="P68" s="2">
        <v>1.9233</v>
      </c>
      <c r="Q68" s="2">
        <v>1.8929</v>
      </c>
      <c r="R68" s="2">
        <v>1.8662000000000001</v>
      </c>
      <c r="S68" s="2">
        <v>1.8424</v>
      </c>
      <c r="T68" s="2">
        <v>1.8211999999999999</v>
      </c>
      <c r="U68" s="2">
        <v>1.802</v>
      </c>
      <c r="V68" s="2">
        <v>1.7846</v>
      </c>
      <c r="W68" s="2">
        <v>1.7686999999999999</v>
      </c>
      <c r="X68" s="2">
        <v>1.7542</v>
      </c>
    </row>
    <row r="69" spans="4:24" x14ac:dyDescent="0.2">
      <c r="D69" s="1">
        <v>59</v>
      </c>
      <c r="E69" s="2">
        <v>4.0038999999999998</v>
      </c>
      <c r="F69" s="2">
        <v>3.1530999999999998</v>
      </c>
      <c r="G69" s="2">
        <v>2.7608000000000001</v>
      </c>
      <c r="H69" s="2">
        <v>2.5278999999999998</v>
      </c>
      <c r="I69" s="2">
        <v>2.371</v>
      </c>
      <c r="J69" s="2">
        <v>2.2568000000000001</v>
      </c>
      <c r="K69" s="2">
        <v>2.1692999999999998</v>
      </c>
      <c r="L69" s="2">
        <v>2.0996999999999999</v>
      </c>
      <c r="M69" s="2">
        <v>2.0428999999999999</v>
      </c>
      <c r="N69" s="2">
        <v>1.9954000000000001</v>
      </c>
      <c r="O69" s="2">
        <v>1.9551000000000001</v>
      </c>
      <c r="P69" s="2">
        <v>1.9202999999999999</v>
      </c>
      <c r="Q69" s="2">
        <v>1.8898999999999999</v>
      </c>
      <c r="R69" s="2">
        <v>1.8632</v>
      </c>
      <c r="S69" s="2">
        <v>1.8393999999999999</v>
      </c>
      <c r="T69" s="2">
        <v>1.8181</v>
      </c>
      <c r="U69" s="2">
        <v>1.7988999999999999</v>
      </c>
      <c r="V69" s="2">
        <v>1.7815000000000001</v>
      </c>
      <c r="W69" s="2">
        <v>1.7656000000000001</v>
      </c>
      <c r="X69" s="2">
        <v>1.7509999999999999</v>
      </c>
    </row>
    <row r="70" spans="4:24" x14ac:dyDescent="0.2">
      <c r="D70" s="1">
        <v>60</v>
      </c>
      <c r="E70" s="2">
        <v>4.0011999999999999</v>
      </c>
      <c r="F70" s="2">
        <v>3.1503999999999999</v>
      </c>
      <c r="G70" s="2">
        <v>2.7581000000000002</v>
      </c>
      <c r="H70" s="2">
        <v>2.5251999999999999</v>
      </c>
      <c r="I70" s="2">
        <v>2.3683000000000001</v>
      </c>
      <c r="J70" s="2">
        <v>2.254</v>
      </c>
      <c r="K70" s="2">
        <v>2.1665000000000001</v>
      </c>
      <c r="L70" s="2">
        <v>2.097</v>
      </c>
      <c r="M70" s="2">
        <v>2.0400999999999998</v>
      </c>
      <c r="N70" s="2">
        <v>1.9925999999999999</v>
      </c>
      <c r="O70" s="2">
        <v>1.9521999999999999</v>
      </c>
      <c r="P70" s="2">
        <v>1.9174</v>
      </c>
      <c r="Q70" s="2">
        <v>1.887</v>
      </c>
      <c r="R70" s="2">
        <v>1.8603000000000001</v>
      </c>
      <c r="S70" s="2">
        <v>1.8364</v>
      </c>
      <c r="T70" s="2">
        <v>1.8150999999999999</v>
      </c>
      <c r="U70" s="2">
        <v>1.7959000000000001</v>
      </c>
      <c r="V70" s="2">
        <v>1.7784</v>
      </c>
      <c r="W70" s="2">
        <v>1.7625</v>
      </c>
      <c r="X70" s="2">
        <v>1.748</v>
      </c>
    </row>
    <row r="71" spans="4:24" x14ac:dyDescent="0.2">
      <c r="D71" s="1" t="s">
        <v>15</v>
      </c>
      <c r="E71" s="1">
        <v>1</v>
      </c>
      <c r="F71" s="1">
        <v>2</v>
      </c>
      <c r="G71" s="1">
        <v>3</v>
      </c>
      <c r="H71" s="1">
        <v>4</v>
      </c>
      <c r="I71" s="1">
        <v>5</v>
      </c>
      <c r="J71" s="1">
        <v>6</v>
      </c>
      <c r="K71" s="1">
        <v>7</v>
      </c>
      <c r="L71" s="1">
        <v>8</v>
      </c>
      <c r="M71" s="1">
        <v>9</v>
      </c>
      <c r="N71" s="1">
        <v>10</v>
      </c>
      <c r="O71" s="1">
        <v>11</v>
      </c>
      <c r="P71" s="1">
        <v>12</v>
      </c>
      <c r="Q71" s="1">
        <v>13</v>
      </c>
      <c r="R71" s="1">
        <v>14</v>
      </c>
      <c r="S71" s="1">
        <v>15</v>
      </c>
      <c r="T71" s="1">
        <v>16</v>
      </c>
      <c r="U71" s="1">
        <v>17</v>
      </c>
      <c r="V71" s="1">
        <v>18</v>
      </c>
      <c r="W71" s="1">
        <v>19</v>
      </c>
      <c r="X71" s="1">
        <v>20</v>
      </c>
    </row>
    <row r="72" spans="4:24" x14ac:dyDescent="0.2">
      <c r="D72" s="1" t="s">
        <v>16</v>
      </c>
      <c r="E72" s="1" t="s">
        <v>17</v>
      </c>
      <c r="F72" s="1"/>
      <c r="G72" s="1"/>
      <c r="H72" s="1"/>
      <c r="I72" s="1"/>
      <c r="J72" s="1"/>
      <c r="K72" s="1"/>
      <c r="L72" s="1"/>
      <c r="M72" s="1"/>
      <c r="N72" s="1"/>
      <c r="O72" s="1"/>
      <c r="P72" s="1"/>
      <c r="Q72" s="1"/>
      <c r="R72" s="1"/>
      <c r="S72" s="1"/>
      <c r="T72" s="1"/>
      <c r="U72" s="1"/>
      <c r="V72" s="1"/>
      <c r="W72" s="1"/>
      <c r="X72" s="1"/>
    </row>
    <row r="73" spans="4:24" x14ac:dyDescent="0.2">
      <c r="D73" s="1">
        <v>61</v>
      </c>
      <c r="E73" s="2">
        <v>3.9984999999999999</v>
      </c>
      <c r="F73" s="2">
        <v>3.1478000000000002</v>
      </c>
      <c r="G73" s="2">
        <v>2.7555000000000001</v>
      </c>
      <c r="H73" s="2">
        <v>2.5226000000000002</v>
      </c>
      <c r="I73" s="2">
        <v>2.3656999999999999</v>
      </c>
      <c r="J73" s="2">
        <v>2.2513999999999998</v>
      </c>
      <c r="K73" s="2">
        <v>2.1638999999999999</v>
      </c>
      <c r="L73" s="2">
        <v>2.0943000000000001</v>
      </c>
      <c r="M73" s="2">
        <v>2.0373999999999999</v>
      </c>
      <c r="N73" s="2">
        <v>1.9899</v>
      </c>
      <c r="O73" s="2">
        <v>1.9495</v>
      </c>
      <c r="P73" s="2">
        <v>1.9146000000000001</v>
      </c>
      <c r="Q73" s="2">
        <v>1.8842000000000001</v>
      </c>
      <c r="R73" s="2">
        <v>1.8573999999999999</v>
      </c>
      <c r="S73" s="2">
        <v>1.8335999999999999</v>
      </c>
      <c r="T73" s="2">
        <v>1.8122</v>
      </c>
      <c r="U73" s="2">
        <v>1.7929999999999999</v>
      </c>
      <c r="V73" s="2">
        <v>1.7755000000000001</v>
      </c>
      <c r="W73" s="2">
        <v>1.7596000000000001</v>
      </c>
      <c r="X73" s="2">
        <v>1.7450000000000001</v>
      </c>
    </row>
    <row r="74" spans="4:24" x14ac:dyDescent="0.2">
      <c r="D74" s="1">
        <v>62</v>
      </c>
      <c r="E74" s="2">
        <v>3.9958999999999998</v>
      </c>
      <c r="F74" s="2">
        <v>3.1453000000000002</v>
      </c>
      <c r="G74" s="2">
        <v>2.7530000000000001</v>
      </c>
      <c r="H74" s="2">
        <v>2.5200999999999998</v>
      </c>
      <c r="I74" s="2">
        <v>2.3631000000000002</v>
      </c>
      <c r="J74" s="2">
        <v>2.2488999999999999</v>
      </c>
      <c r="K74" s="2">
        <v>2.1613000000000002</v>
      </c>
      <c r="L74" s="2">
        <v>2.0916999999999999</v>
      </c>
      <c r="M74" s="2">
        <v>2.0348000000000002</v>
      </c>
      <c r="N74" s="2">
        <v>1.9872000000000001</v>
      </c>
      <c r="O74" s="2">
        <v>1.9468000000000001</v>
      </c>
      <c r="P74" s="2">
        <v>1.9118999999999999</v>
      </c>
      <c r="Q74" s="2">
        <v>1.8815</v>
      </c>
      <c r="R74" s="2">
        <v>1.8547</v>
      </c>
      <c r="S74" s="2">
        <v>1.8308</v>
      </c>
      <c r="T74" s="2">
        <v>1.8095000000000001</v>
      </c>
      <c r="U74" s="2">
        <v>1.7902</v>
      </c>
      <c r="V74" s="2">
        <v>1.7726999999999999</v>
      </c>
      <c r="W74" s="2">
        <v>1.7567999999999999</v>
      </c>
      <c r="X74" s="2">
        <v>1.7422</v>
      </c>
    </row>
    <row r="75" spans="4:24" x14ac:dyDescent="0.2">
      <c r="D75" s="1">
        <v>63</v>
      </c>
      <c r="E75" s="2">
        <v>3.9933999999999998</v>
      </c>
      <c r="F75" s="2">
        <v>3.1427999999999998</v>
      </c>
      <c r="G75" s="2">
        <v>2.7505999999999999</v>
      </c>
      <c r="H75" s="2">
        <v>2.5175999999999998</v>
      </c>
      <c r="I75" s="2">
        <v>2.3607</v>
      </c>
      <c r="J75" s="2">
        <v>2.2464</v>
      </c>
      <c r="K75" s="2">
        <v>2.1587999999999998</v>
      </c>
      <c r="L75" s="2">
        <v>2.0891999999999999</v>
      </c>
      <c r="M75" s="2">
        <v>2.0322</v>
      </c>
      <c r="N75" s="2">
        <v>1.9846999999999999</v>
      </c>
      <c r="O75" s="2">
        <v>1.9441999999999999</v>
      </c>
      <c r="P75" s="2">
        <v>1.9093</v>
      </c>
      <c r="Q75" s="2">
        <v>1.8789</v>
      </c>
      <c r="R75" s="2">
        <v>1.8520000000000001</v>
      </c>
      <c r="S75" s="2">
        <v>1.8282</v>
      </c>
      <c r="T75" s="2">
        <v>1.8068</v>
      </c>
      <c r="U75" s="2">
        <v>1.7875000000000001</v>
      </c>
      <c r="V75" s="2">
        <v>1.77</v>
      </c>
      <c r="W75" s="2">
        <v>1.754</v>
      </c>
      <c r="X75" s="2">
        <v>1.7394000000000001</v>
      </c>
    </row>
    <row r="76" spans="4:24" x14ac:dyDescent="0.2">
      <c r="D76" s="1">
        <v>64</v>
      </c>
      <c r="E76" s="2">
        <v>3.9908999999999999</v>
      </c>
      <c r="F76" s="2">
        <v>3.1404000000000001</v>
      </c>
      <c r="G76" s="2">
        <v>2.7482000000000002</v>
      </c>
      <c r="H76" s="2">
        <v>2.5152999999999999</v>
      </c>
      <c r="I76" s="2">
        <v>2.3582999999999998</v>
      </c>
      <c r="J76" s="2">
        <v>2.2440000000000002</v>
      </c>
      <c r="K76" s="2">
        <v>2.1564000000000001</v>
      </c>
      <c r="L76" s="2">
        <v>2.0868000000000002</v>
      </c>
      <c r="M76" s="2">
        <v>2.0297999999999998</v>
      </c>
      <c r="N76" s="2">
        <v>1.9822</v>
      </c>
      <c r="O76" s="2">
        <v>1.9417</v>
      </c>
      <c r="P76" s="2">
        <v>1.9068000000000001</v>
      </c>
      <c r="Q76" s="2">
        <v>1.8763000000000001</v>
      </c>
      <c r="R76" s="2">
        <v>1.8494999999999999</v>
      </c>
      <c r="S76" s="2">
        <v>1.8255999999999999</v>
      </c>
      <c r="T76" s="2">
        <v>1.8042</v>
      </c>
      <c r="U76" s="2">
        <v>1.7848999999999999</v>
      </c>
      <c r="V76" s="2">
        <v>1.7673000000000001</v>
      </c>
      <c r="W76" s="2">
        <v>1.7514000000000001</v>
      </c>
      <c r="X76" s="2">
        <v>1.7367999999999999</v>
      </c>
    </row>
    <row r="77" spans="4:24" x14ac:dyDescent="0.2">
      <c r="D77" s="1">
        <v>65</v>
      </c>
      <c r="E77" s="2">
        <v>3.9885000000000002</v>
      </c>
      <c r="F77" s="2">
        <v>3.1381000000000001</v>
      </c>
      <c r="G77" s="2">
        <v>2.7458999999999998</v>
      </c>
      <c r="H77" s="2">
        <v>2.5129999999999999</v>
      </c>
      <c r="I77" s="2">
        <v>2.3559999999999999</v>
      </c>
      <c r="J77" s="2">
        <v>2.2416999999999998</v>
      </c>
      <c r="K77" s="2">
        <v>2.1541000000000001</v>
      </c>
      <c r="L77" s="2">
        <v>2.0844</v>
      </c>
      <c r="M77" s="2">
        <v>2.0274000000000001</v>
      </c>
      <c r="N77" s="2">
        <v>1.9798</v>
      </c>
      <c r="O77" s="2">
        <v>1.9393</v>
      </c>
      <c r="P77" s="2">
        <v>1.9044000000000001</v>
      </c>
      <c r="Q77" s="2">
        <v>1.8738999999999999</v>
      </c>
      <c r="R77" s="2">
        <v>1.847</v>
      </c>
      <c r="S77" s="2">
        <v>1.8230999999999999</v>
      </c>
      <c r="T77" s="2">
        <v>1.8017000000000001</v>
      </c>
      <c r="U77" s="2">
        <v>1.7823</v>
      </c>
      <c r="V77" s="2">
        <v>1.7647999999999999</v>
      </c>
      <c r="W77" s="2">
        <v>1.7487999999999999</v>
      </c>
      <c r="X77" s="2">
        <v>1.7342</v>
      </c>
    </row>
    <row r="78" spans="4:24" x14ac:dyDescent="0.2">
      <c r="D78" s="1">
        <v>66</v>
      </c>
      <c r="E78" s="2">
        <v>3.9862000000000002</v>
      </c>
      <c r="F78" s="2">
        <v>3.1358999999999999</v>
      </c>
      <c r="G78" s="2">
        <v>2.7437</v>
      </c>
      <c r="H78" s="2">
        <v>2.5108000000000001</v>
      </c>
      <c r="I78" s="2">
        <v>2.3538000000000001</v>
      </c>
      <c r="J78" s="2">
        <v>2.2395</v>
      </c>
      <c r="K78" s="2">
        <v>2.1518000000000002</v>
      </c>
      <c r="L78" s="2">
        <v>2.0821000000000001</v>
      </c>
      <c r="M78" s="2">
        <v>2.0251000000000001</v>
      </c>
      <c r="N78" s="2">
        <v>1.9775</v>
      </c>
      <c r="O78" s="2">
        <v>1.9370000000000001</v>
      </c>
      <c r="P78" s="2">
        <v>1.9019999999999999</v>
      </c>
      <c r="Q78" s="2">
        <v>1.8714999999999999</v>
      </c>
      <c r="R78" s="2">
        <v>1.8446</v>
      </c>
      <c r="S78" s="2">
        <v>1.8207</v>
      </c>
      <c r="T78" s="2">
        <v>1.7991999999999999</v>
      </c>
      <c r="U78" s="2">
        <v>1.7799</v>
      </c>
      <c r="V78" s="2">
        <v>1.7623</v>
      </c>
      <c r="W78" s="2">
        <v>1.7463</v>
      </c>
      <c r="X78" s="2">
        <v>1.7316</v>
      </c>
    </row>
    <row r="79" spans="4:24" x14ac:dyDescent="0.2">
      <c r="D79" s="1">
        <v>67</v>
      </c>
      <c r="E79" s="2">
        <v>3.9841000000000002</v>
      </c>
      <c r="F79" s="2">
        <v>3.1337999999999999</v>
      </c>
      <c r="G79" s="2">
        <v>2.7416</v>
      </c>
      <c r="H79" s="2">
        <v>2.5087000000000002</v>
      </c>
      <c r="I79" s="2">
        <v>2.3515999999999999</v>
      </c>
      <c r="J79" s="2">
        <v>2.2372999999999998</v>
      </c>
      <c r="K79" s="2">
        <v>2.1497000000000002</v>
      </c>
      <c r="L79" s="2">
        <v>2.0798999999999999</v>
      </c>
      <c r="M79" s="2">
        <v>2.0228999999999999</v>
      </c>
      <c r="N79" s="2">
        <v>1.9752000000000001</v>
      </c>
      <c r="O79" s="2">
        <v>1.9347000000000001</v>
      </c>
      <c r="P79" s="2">
        <v>1.8996999999999999</v>
      </c>
      <c r="Q79" s="2">
        <v>1.8692</v>
      </c>
      <c r="R79" s="2">
        <v>1.8423</v>
      </c>
      <c r="S79" s="2">
        <v>1.8183</v>
      </c>
      <c r="T79" s="2">
        <v>1.7968</v>
      </c>
      <c r="U79" s="2">
        <v>1.7775000000000001</v>
      </c>
      <c r="V79" s="2">
        <v>1.7599</v>
      </c>
      <c r="W79" s="2">
        <v>1.7439</v>
      </c>
      <c r="X79" s="2">
        <v>1.7292000000000001</v>
      </c>
    </row>
    <row r="80" spans="4:24" x14ac:dyDescent="0.2">
      <c r="D80" s="1">
        <v>68</v>
      </c>
      <c r="E80" s="2">
        <v>3.9819</v>
      </c>
      <c r="F80" s="2">
        <v>3.1316999999999999</v>
      </c>
      <c r="G80" s="2">
        <v>2.7395</v>
      </c>
      <c r="H80" s="2">
        <v>2.5066000000000002</v>
      </c>
      <c r="I80" s="2">
        <v>2.3496000000000001</v>
      </c>
      <c r="J80" s="2">
        <v>2.2351999999999999</v>
      </c>
      <c r="K80" s="2">
        <v>2.1475</v>
      </c>
      <c r="L80" s="2">
        <v>2.0777999999999999</v>
      </c>
      <c r="M80" s="2">
        <v>2.0207000000000002</v>
      </c>
      <c r="N80" s="2">
        <v>1.9730000000000001</v>
      </c>
      <c r="O80" s="2">
        <v>1.9325000000000001</v>
      </c>
      <c r="P80" s="2">
        <v>1.8975</v>
      </c>
      <c r="Q80" s="2">
        <v>1.867</v>
      </c>
      <c r="R80" s="2">
        <v>1.84</v>
      </c>
      <c r="S80" s="2">
        <v>1.8160000000000001</v>
      </c>
      <c r="T80" s="2">
        <v>1.7945</v>
      </c>
      <c r="U80" s="2">
        <v>1.7751999999999999</v>
      </c>
      <c r="V80" s="2">
        <v>1.7576000000000001</v>
      </c>
      <c r="W80" s="2">
        <v>1.7415</v>
      </c>
      <c r="X80" s="2">
        <v>1.7267999999999999</v>
      </c>
    </row>
    <row r="81" spans="4:24" x14ac:dyDescent="0.2">
      <c r="D81" s="1">
        <v>69</v>
      </c>
      <c r="E81" s="2">
        <v>3.9798</v>
      </c>
      <c r="F81" s="2">
        <v>3.1297000000000001</v>
      </c>
      <c r="G81" s="2">
        <v>2.7374999999999998</v>
      </c>
      <c r="H81" s="2">
        <v>2.5045999999999999</v>
      </c>
      <c r="I81" s="2">
        <v>2.3475000000000001</v>
      </c>
      <c r="J81" s="2">
        <v>2.2332000000000001</v>
      </c>
      <c r="K81" s="2">
        <v>2.1455000000000002</v>
      </c>
      <c r="L81" s="2">
        <v>2.0756999999999999</v>
      </c>
      <c r="M81" s="2">
        <v>2.0186000000000002</v>
      </c>
      <c r="N81" s="2">
        <v>1.9709000000000001</v>
      </c>
      <c r="O81" s="2">
        <v>1.9302999999999999</v>
      </c>
      <c r="P81" s="2">
        <v>1.8954</v>
      </c>
      <c r="Q81" s="2">
        <v>1.8648</v>
      </c>
      <c r="R81" s="2">
        <v>1.8378000000000001</v>
      </c>
      <c r="S81" s="2">
        <v>1.8138000000000001</v>
      </c>
      <c r="T81" s="2">
        <v>1.7923</v>
      </c>
      <c r="U81" s="2">
        <v>1.7728999999999999</v>
      </c>
      <c r="V81" s="2">
        <v>1.7553000000000001</v>
      </c>
      <c r="W81" s="2">
        <v>1.7393000000000001</v>
      </c>
      <c r="X81" s="2">
        <v>1.7245999999999999</v>
      </c>
    </row>
    <row r="82" spans="4:24" x14ac:dyDescent="0.2">
      <c r="D82" s="1">
        <v>70</v>
      </c>
      <c r="E82" s="2">
        <v>3.9777999999999998</v>
      </c>
      <c r="F82" s="2">
        <v>3.1276999999999999</v>
      </c>
      <c r="G82" s="2">
        <v>2.7355</v>
      </c>
      <c r="H82" s="2">
        <v>2.5026999999999999</v>
      </c>
      <c r="I82" s="2">
        <v>2.3456000000000001</v>
      </c>
      <c r="J82" s="2">
        <v>2.2311999999999999</v>
      </c>
      <c r="K82" s="2">
        <v>2.1435</v>
      </c>
      <c r="L82" s="2">
        <v>2.0737000000000001</v>
      </c>
      <c r="M82" s="2">
        <v>2.0165999999999999</v>
      </c>
      <c r="N82" s="2">
        <v>1.9689000000000001</v>
      </c>
      <c r="O82" s="2">
        <v>1.9282999999999999</v>
      </c>
      <c r="P82" s="2">
        <v>1.8932</v>
      </c>
      <c r="Q82" s="2">
        <v>1.8627</v>
      </c>
      <c r="R82" s="2">
        <v>1.8357000000000001</v>
      </c>
      <c r="S82" s="2">
        <v>1.8117000000000001</v>
      </c>
      <c r="T82" s="2">
        <v>1.7902</v>
      </c>
      <c r="U82" s="2">
        <v>1.7706999999999999</v>
      </c>
      <c r="V82" s="2">
        <v>1.7531000000000001</v>
      </c>
      <c r="W82" s="2">
        <v>1.7371000000000001</v>
      </c>
      <c r="X82" s="2">
        <v>1.7222999999999999</v>
      </c>
    </row>
    <row r="83" spans="4:24" x14ac:dyDescent="0.2">
      <c r="D83" s="1">
        <v>71</v>
      </c>
      <c r="E83" s="2">
        <v>3.9758</v>
      </c>
      <c r="F83" s="2">
        <v>3.1257999999999999</v>
      </c>
      <c r="G83" s="2">
        <v>2.7336</v>
      </c>
      <c r="H83" s="2">
        <v>2.5007000000000001</v>
      </c>
      <c r="I83" s="2">
        <v>2.3437000000000001</v>
      </c>
      <c r="J83" s="2">
        <v>2.2292999999999998</v>
      </c>
      <c r="K83" s="2">
        <v>2.1415000000000002</v>
      </c>
      <c r="L83" s="2">
        <v>2.0716999999999999</v>
      </c>
      <c r="M83" s="2">
        <v>2.0146000000000002</v>
      </c>
      <c r="N83" s="2">
        <v>1.9669000000000001</v>
      </c>
      <c r="O83" s="2">
        <v>1.9262999999999999</v>
      </c>
      <c r="P83" s="2">
        <v>1.8912</v>
      </c>
      <c r="Q83" s="2">
        <v>1.8606</v>
      </c>
      <c r="R83" s="2">
        <v>1.8335999999999999</v>
      </c>
      <c r="S83" s="2">
        <v>1.8096000000000001</v>
      </c>
      <c r="T83" s="2">
        <v>1.7881</v>
      </c>
      <c r="U83" s="2">
        <v>1.7685999999999999</v>
      </c>
      <c r="V83" s="2">
        <v>1.7509999999999999</v>
      </c>
      <c r="W83" s="2">
        <v>1.7349000000000001</v>
      </c>
      <c r="X83" s="2">
        <v>1.7202</v>
      </c>
    </row>
    <row r="84" spans="4:24" x14ac:dyDescent="0.2">
      <c r="D84" s="1">
        <v>72</v>
      </c>
      <c r="E84" s="2">
        <v>3.9739</v>
      </c>
      <c r="F84" s="2">
        <v>3.1238999999999999</v>
      </c>
      <c r="G84" s="2">
        <v>2.7317999999999998</v>
      </c>
      <c r="H84" s="2">
        <v>2.4988999999999999</v>
      </c>
      <c r="I84" s="2">
        <v>2.3418000000000001</v>
      </c>
      <c r="J84" s="2">
        <v>2.2273999999999998</v>
      </c>
      <c r="K84" s="2">
        <v>2.1396999999999999</v>
      </c>
      <c r="L84" s="2">
        <v>2.0697999999999999</v>
      </c>
      <c r="M84" s="2">
        <v>2.0127000000000002</v>
      </c>
      <c r="N84" s="2">
        <v>1.9649000000000001</v>
      </c>
      <c r="O84" s="2">
        <v>1.9242999999999999</v>
      </c>
      <c r="P84" s="2">
        <v>1.8892</v>
      </c>
      <c r="Q84" s="2">
        <v>1.8586</v>
      </c>
      <c r="R84" s="2">
        <v>1.8315999999999999</v>
      </c>
      <c r="S84" s="2">
        <v>1.8076000000000001</v>
      </c>
      <c r="T84" s="2">
        <v>1.786</v>
      </c>
      <c r="U84" s="2">
        <v>1.7665999999999999</v>
      </c>
      <c r="V84" s="2">
        <v>1.7488999999999999</v>
      </c>
      <c r="W84" s="2">
        <v>1.7327999999999999</v>
      </c>
      <c r="X84" s="2">
        <v>1.7181</v>
      </c>
    </row>
    <row r="85" spans="4:24" x14ac:dyDescent="0.2">
      <c r="D85" s="1">
        <v>73</v>
      </c>
      <c r="E85" s="2">
        <v>3.9721000000000002</v>
      </c>
      <c r="F85" s="2">
        <v>3.1221000000000001</v>
      </c>
      <c r="G85" s="2">
        <v>2.73</v>
      </c>
      <c r="H85" s="2">
        <v>2.4971000000000001</v>
      </c>
      <c r="I85" s="2">
        <v>2.34</v>
      </c>
      <c r="J85" s="2">
        <v>2.2256</v>
      </c>
      <c r="K85" s="2">
        <v>2.1377999999999999</v>
      </c>
      <c r="L85" s="2">
        <v>2.0680000000000001</v>
      </c>
      <c r="M85" s="2">
        <v>2.0108000000000001</v>
      </c>
      <c r="N85" s="2">
        <v>1.9631000000000001</v>
      </c>
      <c r="O85" s="2">
        <v>1.9224000000000001</v>
      </c>
      <c r="P85" s="2">
        <v>1.8873</v>
      </c>
      <c r="Q85" s="2">
        <v>1.8567</v>
      </c>
      <c r="R85" s="2">
        <v>1.8297000000000001</v>
      </c>
      <c r="S85" s="2">
        <v>1.8056000000000001</v>
      </c>
      <c r="T85" s="2">
        <v>1.784</v>
      </c>
      <c r="U85" s="2">
        <v>1.7645999999999999</v>
      </c>
      <c r="V85" s="2">
        <v>1.7468999999999999</v>
      </c>
      <c r="W85" s="2">
        <v>1.7307999999999999</v>
      </c>
      <c r="X85" s="2">
        <v>1.716</v>
      </c>
    </row>
    <row r="86" spans="4:24" x14ac:dyDescent="0.2">
      <c r="D86" s="1">
        <v>74</v>
      </c>
      <c r="E86" s="2">
        <v>3.9702999999999999</v>
      </c>
      <c r="F86" s="2">
        <v>3.1204000000000001</v>
      </c>
      <c r="G86" s="2">
        <v>2.7282999999999999</v>
      </c>
      <c r="H86" s="2">
        <v>2.4954000000000001</v>
      </c>
      <c r="I86" s="2">
        <v>2.3382999999999998</v>
      </c>
      <c r="J86" s="2">
        <v>2.2238000000000002</v>
      </c>
      <c r="K86" s="2">
        <v>2.1360999999999999</v>
      </c>
      <c r="L86" s="2">
        <v>2.0661999999999998</v>
      </c>
      <c r="M86" s="2">
        <v>2.0089999999999999</v>
      </c>
      <c r="N86" s="2">
        <v>1.9612000000000001</v>
      </c>
      <c r="O86" s="2">
        <v>1.9205000000000001</v>
      </c>
      <c r="P86" s="2">
        <v>1.8854</v>
      </c>
      <c r="Q86" s="2">
        <v>1.8548</v>
      </c>
      <c r="R86" s="2">
        <v>1.8278000000000001</v>
      </c>
      <c r="S86" s="2">
        <v>1.8037000000000001</v>
      </c>
      <c r="T86" s="2">
        <v>1.7821</v>
      </c>
      <c r="U86" s="2">
        <v>1.7625999999999999</v>
      </c>
      <c r="V86" s="2">
        <v>1.7448999999999999</v>
      </c>
      <c r="W86" s="2">
        <v>1.7287999999999999</v>
      </c>
      <c r="X86" s="2">
        <v>1.714</v>
      </c>
    </row>
    <row r="87" spans="4:24" x14ac:dyDescent="0.2">
      <c r="D87" s="1">
        <v>75</v>
      </c>
      <c r="E87" s="2">
        <v>3.9685000000000001</v>
      </c>
      <c r="F87" s="2">
        <v>3.1185999999999998</v>
      </c>
      <c r="G87" s="2">
        <v>2.7265999999999999</v>
      </c>
      <c r="H87" s="2">
        <v>2.4937</v>
      </c>
      <c r="I87" s="2">
        <v>2.3365999999999998</v>
      </c>
      <c r="J87" s="2">
        <v>2.2221000000000002</v>
      </c>
      <c r="K87" s="2">
        <v>2.1343000000000001</v>
      </c>
      <c r="L87" s="2">
        <v>2.0644999999999998</v>
      </c>
      <c r="M87" s="2">
        <v>2.0072999999999999</v>
      </c>
      <c r="N87" s="2">
        <v>1.9595</v>
      </c>
      <c r="O87" s="2">
        <v>1.9188000000000001</v>
      </c>
      <c r="P87" s="2">
        <v>1.8835999999999999</v>
      </c>
      <c r="Q87" s="2">
        <v>1.853</v>
      </c>
      <c r="R87" s="2">
        <v>1.8259000000000001</v>
      </c>
      <c r="S87" s="2">
        <v>1.8018000000000001</v>
      </c>
      <c r="T87" s="2">
        <v>1.7802</v>
      </c>
      <c r="U87" s="2">
        <v>1.7606999999999999</v>
      </c>
      <c r="V87" s="2">
        <v>1.7431000000000001</v>
      </c>
      <c r="W87" s="2">
        <v>1.7269000000000001</v>
      </c>
      <c r="X87" s="2">
        <v>1.7121</v>
      </c>
    </row>
    <row r="88" spans="4:24" x14ac:dyDescent="0.2">
      <c r="D88" s="1">
        <v>76</v>
      </c>
      <c r="E88" s="2">
        <v>3.9668000000000001</v>
      </c>
      <c r="F88" s="2">
        <v>3.117</v>
      </c>
      <c r="G88" s="2">
        <v>2.7248999999999999</v>
      </c>
      <c r="H88" s="2">
        <v>2.4921000000000002</v>
      </c>
      <c r="I88" s="2">
        <v>2.3349000000000002</v>
      </c>
      <c r="J88" s="2">
        <v>2.2204000000000002</v>
      </c>
      <c r="K88" s="2">
        <v>2.1326000000000001</v>
      </c>
      <c r="L88" s="2">
        <v>2.0627</v>
      </c>
      <c r="M88" s="2">
        <v>2.0055000000000001</v>
      </c>
      <c r="N88" s="2">
        <v>1.9577</v>
      </c>
      <c r="O88" s="2">
        <v>1.917</v>
      </c>
      <c r="P88" s="2">
        <v>1.8818999999999999</v>
      </c>
      <c r="Q88" s="2">
        <v>1.8512</v>
      </c>
      <c r="R88" s="2">
        <v>1.8241000000000001</v>
      </c>
      <c r="S88" s="2">
        <v>1.8</v>
      </c>
      <c r="T88" s="2">
        <v>1.7784</v>
      </c>
      <c r="U88" s="2">
        <v>1.7588999999999999</v>
      </c>
      <c r="V88" s="2">
        <v>1.7412000000000001</v>
      </c>
      <c r="W88" s="2">
        <v>1.7250000000000001</v>
      </c>
      <c r="X88" s="2">
        <v>1.7101999999999999</v>
      </c>
    </row>
    <row r="89" spans="4:24" x14ac:dyDescent="0.2">
      <c r="D89" s="1">
        <v>77</v>
      </c>
      <c r="E89" s="2">
        <v>3.9651000000000001</v>
      </c>
      <c r="F89" s="2">
        <v>3.1154000000000002</v>
      </c>
      <c r="G89" s="2">
        <v>2.7233000000000001</v>
      </c>
      <c r="H89" s="2">
        <v>2.4904000000000002</v>
      </c>
      <c r="I89" s="2">
        <v>2.3332999999999999</v>
      </c>
      <c r="J89" s="2">
        <v>2.2187999999999999</v>
      </c>
      <c r="K89" s="2">
        <v>2.1309999999999998</v>
      </c>
      <c r="L89" s="2">
        <v>2.0611000000000002</v>
      </c>
      <c r="M89" s="2">
        <v>2.0038999999999998</v>
      </c>
      <c r="N89" s="2">
        <v>1.956</v>
      </c>
      <c r="O89" s="2">
        <v>1.9153</v>
      </c>
      <c r="P89" s="2">
        <v>1.8801000000000001</v>
      </c>
      <c r="Q89" s="2">
        <v>1.8493999999999999</v>
      </c>
      <c r="R89" s="2">
        <v>1.8223</v>
      </c>
      <c r="S89" s="2">
        <v>1.7982</v>
      </c>
      <c r="T89" s="2">
        <v>1.7766</v>
      </c>
      <c r="U89" s="2">
        <v>1.7571000000000001</v>
      </c>
      <c r="V89" s="2">
        <v>1.7394000000000001</v>
      </c>
      <c r="W89" s="2">
        <v>1.7232000000000001</v>
      </c>
      <c r="X89" s="2">
        <v>1.7083999999999999</v>
      </c>
    </row>
    <row r="90" spans="4:24" x14ac:dyDescent="0.2">
      <c r="D90" s="1">
        <v>78</v>
      </c>
      <c r="E90" s="2">
        <v>3.9634999999999998</v>
      </c>
      <c r="F90" s="2">
        <v>3.1137999999999999</v>
      </c>
      <c r="G90" s="2">
        <v>2.7218</v>
      </c>
      <c r="H90" s="2">
        <v>2.4889000000000001</v>
      </c>
      <c r="I90" s="2">
        <v>2.3317999999999999</v>
      </c>
      <c r="J90" s="2">
        <v>2.2172000000000001</v>
      </c>
      <c r="K90" s="2">
        <v>2.1294</v>
      </c>
      <c r="L90" s="2">
        <v>2.0594999999999999</v>
      </c>
      <c r="M90" s="2">
        <v>2.0022000000000002</v>
      </c>
      <c r="N90" s="2">
        <v>1.9543999999999999</v>
      </c>
      <c r="O90" s="2">
        <v>1.9136</v>
      </c>
      <c r="P90" s="2">
        <v>1.8785000000000001</v>
      </c>
      <c r="Q90" s="2">
        <v>1.8478000000000001</v>
      </c>
      <c r="R90" s="2">
        <v>1.8206</v>
      </c>
      <c r="S90" s="2">
        <v>1.7965</v>
      </c>
      <c r="T90" s="2">
        <v>1.7748999999999999</v>
      </c>
      <c r="U90" s="2">
        <v>1.7554000000000001</v>
      </c>
      <c r="V90" s="2">
        <v>1.7376</v>
      </c>
      <c r="W90" s="2">
        <v>1.7214</v>
      </c>
      <c r="X90" s="2">
        <v>1.7065999999999999</v>
      </c>
    </row>
    <row r="91" spans="4:24" x14ac:dyDescent="0.2">
      <c r="D91" s="1">
        <v>79</v>
      </c>
      <c r="E91" s="2">
        <v>3.9619</v>
      </c>
      <c r="F91" s="2">
        <v>3.1122999999999998</v>
      </c>
      <c r="G91" s="2">
        <v>2.7202999999999999</v>
      </c>
      <c r="H91" s="2">
        <v>2.4874000000000001</v>
      </c>
      <c r="I91" s="2">
        <v>2.3302</v>
      </c>
      <c r="J91" s="2">
        <v>2.2157</v>
      </c>
      <c r="K91" s="2">
        <v>2.1278999999999999</v>
      </c>
      <c r="L91" s="2">
        <v>2.0579000000000001</v>
      </c>
      <c r="M91" s="2">
        <v>2.0005999999999999</v>
      </c>
      <c r="N91" s="2">
        <v>1.9528000000000001</v>
      </c>
      <c r="O91" s="2">
        <v>1.9119999999999999</v>
      </c>
      <c r="P91" s="2">
        <v>1.8769</v>
      </c>
      <c r="Q91" s="2">
        <v>1.8461000000000001</v>
      </c>
      <c r="R91" s="2">
        <v>1.819</v>
      </c>
      <c r="S91" s="2">
        <v>1.7948</v>
      </c>
      <c r="T91" s="2">
        <v>1.7732000000000001</v>
      </c>
      <c r="U91" s="2">
        <v>1.7537</v>
      </c>
      <c r="V91" s="2">
        <v>1.7359</v>
      </c>
      <c r="W91" s="2">
        <v>1.7197</v>
      </c>
      <c r="X91" s="2">
        <v>1.7048000000000001</v>
      </c>
    </row>
    <row r="92" spans="4:24" x14ac:dyDescent="0.2">
      <c r="D92" s="1">
        <v>80</v>
      </c>
      <c r="E92" s="2">
        <v>3.9603999999999999</v>
      </c>
      <c r="F92" s="2">
        <v>3.1107</v>
      </c>
      <c r="G92" s="2">
        <v>2.7187999999999999</v>
      </c>
      <c r="H92" s="2">
        <v>2.4859</v>
      </c>
      <c r="I92" s="2">
        <v>2.3287</v>
      </c>
      <c r="J92" s="2">
        <v>2.2141999999999999</v>
      </c>
      <c r="K92" s="2">
        <v>2.1263000000000001</v>
      </c>
      <c r="L92" s="2">
        <v>2.0564</v>
      </c>
      <c r="M92" s="2">
        <v>1.9991000000000001</v>
      </c>
      <c r="N92" s="2">
        <v>1.9512</v>
      </c>
      <c r="O92" s="2">
        <v>1.9105000000000001</v>
      </c>
      <c r="P92" s="2">
        <v>1.8753</v>
      </c>
      <c r="Q92" s="2">
        <v>1.8445</v>
      </c>
      <c r="R92" s="2">
        <v>1.8173999999999999</v>
      </c>
      <c r="S92" s="2">
        <v>1.7931999999999999</v>
      </c>
      <c r="T92" s="2">
        <v>1.7716000000000001</v>
      </c>
      <c r="U92" s="2">
        <v>1.752</v>
      </c>
      <c r="V92" s="2">
        <v>1.7342</v>
      </c>
      <c r="W92" s="2">
        <v>1.718</v>
      </c>
      <c r="X92" s="2">
        <v>1.7032</v>
      </c>
    </row>
    <row r="93" spans="4:24" x14ac:dyDescent="0.2">
      <c r="D93" s="1" t="s">
        <v>15</v>
      </c>
      <c r="E93" s="1">
        <v>1</v>
      </c>
      <c r="F93" s="1">
        <v>2</v>
      </c>
      <c r="G93" s="1">
        <v>3</v>
      </c>
      <c r="H93" s="1">
        <v>4</v>
      </c>
      <c r="I93" s="1">
        <v>5</v>
      </c>
      <c r="J93" s="1">
        <v>6</v>
      </c>
      <c r="K93" s="1">
        <v>7</v>
      </c>
      <c r="L93" s="1">
        <v>8</v>
      </c>
      <c r="M93" s="1">
        <v>9</v>
      </c>
      <c r="N93" s="1">
        <v>10</v>
      </c>
      <c r="O93" s="1">
        <v>11</v>
      </c>
      <c r="P93" s="1">
        <v>12</v>
      </c>
      <c r="Q93" s="1">
        <v>13</v>
      </c>
      <c r="R93" s="1">
        <v>14</v>
      </c>
      <c r="S93" s="1">
        <v>15</v>
      </c>
      <c r="T93" s="1">
        <v>16</v>
      </c>
      <c r="U93" s="1">
        <v>17</v>
      </c>
      <c r="V93" s="1">
        <v>18</v>
      </c>
      <c r="W93" s="1">
        <v>19</v>
      </c>
      <c r="X93" s="1">
        <v>20</v>
      </c>
    </row>
    <row r="94" spans="4:24" x14ac:dyDescent="0.2">
      <c r="D94" s="1" t="s">
        <v>16</v>
      </c>
      <c r="E94" s="1" t="s">
        <v>17</v>
      </c>
      <c r="F94" s="1"/>
      <c r="G94" s="1"/>
      <c r="H94" s="1"/>
      <c r="I94" s="1"/>
      <c r="J94" s="1"/>
      <c r="K94" s="1"/>
      <c r="L94" s="1"/>
      <c r="M94" s="1"/>
      <c r="N94" s="1"/>
      <c r="O94" s="1"/>
      <c r="P94" s="1"/>
      <c r="Q94" s="1"/>
      <c r="R94" s="1"/>
      <c r="S94" s="1"/>
      <c r="T94" s="1"/>
      <c r="U94" s="1"/>
      <c r="V94" s="1"/>
      <c r="W94" s="1"/>
      <c r="X94" s="1"/>
    </row>
    <row r="95" spans="4:24" x14ac:dyDescent="0.2">
      <c r="D95" s="1">
        <v>81</v>
      </c>
      <c r="E95" s="2">
        <v>3.9588999999999999</v>
      </c>
      <c r="F95" s="2">
        <v>3.1093000000000002</v>
      </c>
      <c r="G95" s="2">
        <v>2.7172999999999998</v>
      </c>
      <c r="H95" s="2">
        <v>2.4845000000000002</v>
      </c>
      <c r="I95" s="2">
        <v>2.3273000000000001</v>
      </c>
      <c r="J95" s="2">
        <v>2.2126999999999999</v>
      </c>
      <c r="K95" s="2">
        <v>2.1248</v>
      </c>
      <c r="L95" s="2">
        <v>2.0548999999999999</v>
      </c>
      <c r="M95" s="2">
        <v>1.9976</v>
      </c>
      <c r="N95" s="2">
        <v>1.9497</v>
      </c>
      <c r="O95" s="2">
        <v>1.9089</v>
      </c>
      <c r="P95" s="2">
        <v>1.8736999999999999</v>
      </c>
      <c r="Q95" s="2">
        <v>1.8429</v>
      </c>
      <c r="R95" s="2">
        <v>1.8158000000000001</v>
      </c>
      <c r="S95" s="2">
        <v>1.7916000000000001</v>
      </c>
      <c r="T95" s="2">
        <v>1.77</v>
      </c>
      <c r="U95" s="2">
        <v>1.7504</v>
      </c>
      <c r="V95" s="2">
        <v>1.7325999999999999</v>
      </c>
      <c r="W95" s="2">
        <v>1.7163999999999999</v>
      </c>
      <c r="X95" s="2">
        <v>1.7015</v>
      </c>
    </row>
    <row r="96" spans="4:24" x14ac:dyDescent="0.2">
      <c r="D96" s="1">
        <v>82</v>
      </c>
      <c r="E96" s="2">
        <v>3.9573999999999998</v>
      </c>
      <c r="F96" s="2">
        <v>3.1078999999999999</v>
      </c>
      <c r="G96" s="2">
        <v>2.7160000000000002</v>
      </c>
      <c r="H96" s="2">
        <v>2.4830000000000001</v>
      </c>
      <c r="I96" s="2">
        <v>2.3258000000000001</v>
      </c>
      <c r="J96" s="2">
        <v>2.2113</v>
      </c>
      <c r="K96" s="2">
        <v>2.1234000000000002</v>
      </c>
      <c r="L96" s="2">
        <v>2.0533999999999999</v>
      </c>
      <c r="M96" s="2">
        <v>1.9962</v>
      </c>
      <c r="N96" s="2">
        <v>1.9481999999999999</v>
      </c>
      <c r="O96" s="2">
        <v>1.9074</v>
      </c>
      <c r="P96" s="2">
        <v>1.8722000000000001</v>
      </c>
      <c r="Q96" s="2">
        <v>1.8413999999999999</v>
      </c>
      <c r="R96" s="2">
        <v>1.8143</v>
      </c>
      <c r="S96" s="2">
        <v>1.7901</v>
      </c>
      <c r="T96" s="2">
        <v>1.7684</v>
      </c>
      <c r="U96" s="2">
        <v>1.7487999999999999</v>
      </c>
      <c r="V96" s="2">
        <v>1.7310000000000001</v>
      </c>
      <c r="W96" s="2">
        <v>1.7148000000000001</v>
      </c>
      <c r="X96" s="2">
        <v>1.6999</v>
      </c>
    </row>
    <row r="97" spans="4:24" x14ac:dyDescent="0.2">
      <c r="D97" s="1">
        <v>83</v>
      </c>
      <c r="E97" s="2">
        <v>3.956</v>
      </c>
      <c r="F97" s="2">
        <v>3.1065</v>
      </c>
      <c r="G97" s="2">
        <v>2.7145999999999999</v>
      </c>
      <c r="H97" s="2">
        <v>2.4817</v>
      </c>
      <c r="I97" s="2">
        <v>2.3245</v>
      </c>
      <c r="J97" s="2">
        <v>2.2099000000000002</v>
      </c>
      <c r="K97" s="2">
        <v>2.1219999999999999</v>
      </c>
      <c r="L97" s="2">
        <v>2.052</v>
      </c>
      <c r="M97" s="2">
        <v>1.9946999999999999</v>
      </c>
      <c r="N97" s="2">
        <v>1.9468000000000001</v>
      </c>
      <c r="O97" s="2">
        <v>1.9059999999999999</v>
      </c>
      <c r="P97" s="2">
        <v>1.8707</v>
      </c>
      <c r="Q97" s="2">
        <v>1.8399000000000001</v>
      </c>
      <c r="R97" s="2">
        <v>1.8127</v>
      </c>
      <c r="S97" s="2">
        <v>1.7886</v>
      </c>
      <c r="T97" s="2">
        <v>1.7668999999999999</v>
      </c>
      <c r="U97" s="2">
        <v>1.7473000000000001</v>
      </c>
      <c r="V97" s="2">
        <v>1.7295</v>
      </c>
      <c r="W97" s="2">
        <v>1.7132000000000001</v>
      </c>
      <c r="X97" s="2">
        <v>1.6982999999999999</v>
      </c>
    </row>
    <row r="98" spans="4:24" x14ac:dyDescent="0.2">
      <c r="D98" s="1">
        <v>84</v>
      </c>
      <c r="E98" s="2">
        <v>3.9546000000000001</v>
      </c>
      <c r="F98" s="2">
        <v>3.1051000000000002</v>
      </c>
      <c r="G98" s="2">
        <v>2.7132000000000001</v>
      </c>
      <c r="H98" s="2">
        <v>2.4803000000000002</v>
      </c>
      <c r="I98" s="2">
        <v>2.3231000000000002</v>
      </c>
      <c r="J98" s="2">
        <v>2.2086000000000001</v>
      </c>
      <c r="K98" s="2">
        <v>2.1206</v>
      </c>
      <c r="L98" s="2">
        <v>2.0506000000000002</v>
      </c>
      <c r="M98" s="2">
        <v>1.9933000000000001</v>
      </c>
      <c r="N98" s="2">
        <v>1.9454</v>
      </c>
      <c r="O98" s="2">
        <v>1.9045000000000001</v>
      </c>
      <c r="P98" s="2">
        <v>1.8693</v>
      </c>
      <c r="Q98" s="2">
        <v>1.8385</v>
      </c>
      <c r="R98" s="2">
        <v>1.8112999999999999</v>
      </c>
      <c r="S98" s="2">
        <v>1.7870999999999999</v>
      </c>
      <c r="T98" s="2">
        <v>1.7654000000000001</v>
      </c>
      <c r="U98" s="2">
        <v>1.7458</v>
      </c>
      <c r="V98" s="2">
        <v>1.728</v>
      </c>
      <c r="W98" s="2">
        <v>1.7117</v>
      </c>
      <c r="X98" s="2">
        <v>1.6968000000000001</v>
      </c>
    </row>
    <row r="99" spans="4:24" x14ac:dyDescent="0.2">
      <c r="D99" s="1">
        <v>85</v>
      </c>
      <c r="E99" s="2">
        <v>3.9531999999999998</v>
      </c>
      <c r="F99" s="2">
        <v>3.1038999999999999</v>
      </c>
      <c r="G99" s="2">
        <v>2.7119</v>
      </c>
      <c r="H99" s="2">
        <v>2.4790000000000001</v>
      </c>
      <c r="I99" s="2">
        <v>2.3218000000000001</v>
      </c>
      <c r="J99" s="2">
        <v>2.2071999999999998</v>
      </c>
      <c r="K99" s="2">
        <v>2.1193</v>
      </c>
      <c r="L99" s="2">
        <v>2.0493000000000001</v>
      </c>
      <c r="M99" s="2">
        <v>1.9919</v>
      </c>
      <c r="N99" s="2">
        <v>1.944</v>
      </c>
      <c r="O99" s="2">
        <v>1.9031</v>
      </c>
      <c r="P99" s="2">
        <v>1.8678999999999999</v>
      </c>
      <c r="Q99" s="2">
        <v>1.8371</v>
      </c>
      <c r="R99" s="2">
        <v>1.8099000000000001</v>
      </c>
      <c r="S99" s="2">
        <v>1.7856000000000001</v>
      </c>
      <c r="T99" s="2">
        <v>1.7639</v>
      </c>
      <c r="U99" s="2">
        <v>1.7443</v>
      </c>
      <c r="V99" s="2">
        <v>1.7264999999999999</v>
      </c>
      <c r="W99" s="2">
        <v>1.7101999999999999</v>
      </c>
      <c r="X99" s="2">
        <v>1.6953</v>
      </c>
    </row>
    <row r="100" spans="4:24" x14ac:dyDescent="0.2">
      <c r="D100" s="1">
        <v>86</v>
      </c>
      <c r="E100" s="2">
        <v>3.9519000000000002</v>
      </c>
      <c r="F100" s="2">
        <v>3.1025999999999998</v>
      </c>
      <c r="G100" s="2">
        <v>2.7105999999999999</v>
      </c>
      <c r="H100" s="2">
        <v>2.4777</v>
      </c>
      <c r="I100" s="2">
        <v>2.3205</v>
      </c>
      <c r="J100" s="2">
        <v>2.2059000000000002</v>
      </c>
      <c r="K100" s="2">
        <v>2.1179999999999999</v>
      </c>
      <c r="L100" s="2">
        <v>2.048</v>
      </c>
      <c r="M100" s="2">
        <v>1.9905999999999999</v>
      </c>
      <c r="N100" s="2">
        <v>1.9426000000000001</v>
      </c>
      <c r="O100" s="2">
        <v>1.9017999999999999</v>
      </c>
      <c r="P100" s="2">
        <v>1.8665</v>
      </c>
      <c r="Q100" s="2">
        <v>1.8357000000000001</v>
      </c>
      <c r="R100" s="2">
        <v>1.8085</v>
      </c>
      <c r="S100" s="2">
        <v>1.7842</v>
      </c>
      <c r="T100" s="2">
        <v>1.7625</v>
      </c>
      <c r="U100" s="2">
        <v>1.7428999999999999</v>
      </c>
      <c r="V100" s="2">
        <v>1.7250000000000001</v>
      </c>
      <c r="W100" s="2">
        <v>1.7088000000000001</v>
      </c>
      <c r="X100" s="2">
        <v>1.6938</v>
      </c>
    </row>
    <row r="101" spans="4:24" x14ac:dyDescent="0.2">
      <c r="D101" s="1">
        <v>87</v>
      </c>
      <c r="E101" s="2">
        <v>3.9506000000000001</v>
      </c>
      <c r="F101" s="2">
        <v>3.1013000000000002</v>
      </c>
      <c r="G101" s="2">
        <v>2.7094</v>
      </c>
      <c r="H101" s="2">
        <v>2.4765000000000001</v>
      </c>
      <c r="I101" s="2">
        <v>2.3193000000000001</v>
      </c>
      <c r="J101" s="2">
        <v>2.2046999999999999</v>
      </c>
      <c r="K101" s="2">
        <v>2.1166999999999998</v>
      </c>
      <c r="L101" s="2">
        <v>2.0467</v>
      </c>
      <c r="M101" s="2">
        <v>1.9893000000000001</v>
      </c>
      <c r="N101" s="2">
        <v>1.9413</v>
      </c>
      <c r="O101" s="2">
        <v>1.9005000000000001</v>
      </c>
      <c r="P101" s="2">
        <v>1.8652</v>
      </c>
      <c r="Q101" s="2">
        <v>1.8343</v>
      </c>
      <c r="R101" s="2">
        <v>1.8070999999999999</v>
      </c>
      <c r="S101" s="2">
        <v>1.7828999999999999</v>
      </c>
      <c r="T101" s="2">
        <v>1.7611000000000001</v>
      </c>
      <c r="U101" s="2">
        <v>1.7415</v>
      </c>
      <c r="V101" s="2">
        <v>1.7236</v>
      </c>
      <c r="W101" s="2">
        <v>1.7073</v>
      </c>
      <c r="X101" s="2">
        <v>1.6923999999999999</v>
      </c>
    </row>
    <row r="102" spans="4:24" x14ac:dyDescent="0.2">
      <c r="D102" s="1">
        <v>88</v>
      </c>
      <c r="E102" s="2">
        <v>3.9493</v>
      </c>
      <c r="F102" s="2">
        <v>3.1000999999999999</v>
      </c>
      <c r="G102" s="2">
        <v>2.7082000000000002</v>
      </c>
      <c r="H102" s="2">
        <v>2.4752999999999998</v>
      </c>
      <c r="I102" s="2">
        <v>2.3180000000000001</v>
      </c>
      <c r="J102" s="2">
        <v>2.2033999999999998</v>
      </c>
      <c r="K102" s="2">
        <v>2.1154999999999999</v>
      </c>
      <c r="L102" s="2">
        <v>2.0453999999999999</v>
      </c>
      <c r="M102" s="2">
        <v>1.9881</v>
      </c>
      <c r="N102" s="2">
        <v>1.94</v>
      </c>
      <c r="O102" s="2">
        <v>1.8992</v>
      </c>
      <c r="P102" s="2">
        <v>1.8638999999999999</v>
      </c>
      <c r="Q102" s="2">
        <v>1.833</v>
      </c>
      <c r="R102" s="2">
        <v>1.8058000000000001</v>
      </c>
      <c r="S102" s="2">
        <v>1.7815000000000001</v>
      </c>
      <c r="T102" s="2">
        <v>1.7598</v>
      </c>
      <c r="U102" s="2">
        <v>1.7401</v>
      </c>
      <c r="V102" s="2">
        <v>1.7222999999999999</v>
      </c>
      <c r="W102" s="2">
        <v>1.706</v>
      </c>
      <c r="X102" s="2">
        <v>1.6910000000000001</v>
      </c>
    </row>
    <row r="103" spans="4:24" x14ac:dyDescent="0.2">
      <c r="D103" s="1">
        <v>89</v>
      </c>
      <c r="E103" s="2">
        <v>3.9481000000000002</v>
      </c>
      <c r="F103" s="2">
        <v>3.0988000000000002</v>
      </c>
      <c r="G103" s="2">
        <v>2.7069999999999999</v>
      </c>
      <c r="H103" s="2">
        <v>2.4741</v>
      </c>
      <c r="I103" s="2">
        <v>2.3169</v>
      </c>
      <c r="J103" s="2">
        <v>2.2021999999999999</v>
      </c>
      <c r="K103" s="2">
        <v>2.1143000000000001</v>
      </c>
      <c r="L103" s="2">
        <v>2.0442</v>
      </c>
      <c r="M103" s="2">
        <v>1.9867999999999999</v>
      </c>
      <c r="N103" s="2">
        <v>1.9388000000000001</v>
      </c>
      <c r="O103" s="2">
        <v>1.8978999999999999</v>
      </c>
      <c r="P103" s="2">
        <v>1.8626</v>
      </c>
      <c r="Q103" s="2">
        <v>1.8317000000000001</v>
      </c>
      <c r="R103" s="2">
        <v>1.8045</v>
      </c>
      <c r="S103" s="2">
        <v>1.7802</v>
      </c>
      <c r="T103" s="2">
        <v>1.7584</v>
      </c>
      <c r="U103" s="2">
        <v>1.7387999999999999</v>
      </c>
      <c r="V103" s="2">
        <v>1.7209000000000001</v>
      </c>
      <c r="W103" s="2">
        <v>1.7045999999999999</v>
      </c>
      <c r="X103" s="2">
        <v>1.6896</v>
      </c>
    </row>
    <row r="104" spans="4:24" x14ac:dyDescent="0.2">
      <c r="D104" s="1">
        <v>90</v>
      </c>
      <c r="E104" s="2">
        <v>3.9468999999999999</v>
      </c>
      <c r="F104" s="2">
        <v>3.0977000000000001</v>
      </c>
      <c r="G104" s="2">
        <v>2.7058</v>
      </c>
      <c r="H104" s="2">
        <v>2.4729000000000001</v>
      </c>
      <c r="I104" s="2">
        <v>2.3157000000000001</v>
      </c>
      <c r="J104" s="2">
        <v>2.2010999999999998</v>
      </c>
      <c r="K104" s="2">
        <v>2.1131000000000002</v>
      </c>
      <c r="L104" s="2">
        <v>2.0430000000000001</v>
      </c>
      <c r="M104" s="2">
        <v>1.9856</v>
      </c>
      <c r="N104" s="2">
        <v>1.9376</v>
      </c>
      <c r="O104" s="2">
        <v>1.8967000000000001</v>
      </c>
      <c r="P104" s="2">
        <v>1.8613</v>
      </c>
      <c r="Q104" s="2">
        <v>1.8305</v>
      </c>
      <c r="R104" s="2">
        <v>1.8031999999999999</v>
      </c>
      <c r="S104" s="2">
        <v>1.7788999999999999</v>
      </c>
      <c r="T104" s="2">
        <v>1.7571000000000001</v>
      </c>
      <c r="U104" s="2">
        <v>1.7375</v>
      </c>
      <c r="V104" s="2">
        <v>1.7196</v>
      </c>
      <c r="W104" s="2">
        <v>1.7033</v>
      </c>
      <c r="X104" s="2">
        <v>1.6882999999999999</v>
      </c>
    </row>
    <row r="105" spans="4:24" x14ac:dyDescent="0.2">
      <c r="D105" s="1">
        <v>91</v>
      </c>
      <c r="E105" s="2">
        <v>3.9457</v>
      </c>
      <c r="F105" s="2">
        <v>3.0964999999999998</v>
      </c>
      <c r="G105" s="2">
        <v>2.7046999999999999</v>
      </c>
      <c r="H105" s="2">
        <v>2.4718</v>
      </c>
      <c r="I105" s="2">
        <v>2.3146</v>
      </c>
      <c r="J105" s="2">
        <v>2.1999</v>
      </c>
      <c r="K105" s="2">
        <v>2.1118999999999999</v>
      </c>
      <c r="L105" s="2">
        <v>2.0417999999999998</v>
      </c>
      <c r="M105" s="2">
        <v>1.9843999999999999</v>
      </c>
      <c r="N105" s="2">
        <v>1.9363999999999999</v>
      </c>
      <c r="O105" s="2">
        <v>1.8955</v>
      </c>
      <c r="P105" s="2">
        <v>1.8601000000000001</v>
      </c>
      <c r="Q105" s="2">
        <v>1.8291999999999999</v>
      </c>
      <c r="R105" s="2">
        <v>1.802</v>
      </c>
      <c r="S105" s="2">
        <v>1.7777000000000001</v>
      </c>
      <c r="T105" s="2">
        <v>1.7559</v>
      </c>
      <c r="U105" s="2">
        <v>1.7362</v>
      </c>
      <c r="V105" s="2">
        <v>1.7182999999999999</v>
      </c>
      <c r="W105" s="2">
        <v>1.702</v>
      </c>
      <c r="X105" s="2">
        <v>1.6870000000000001</v>
      </c>
    </row>
    <row r="106" spans="4:24" x14ac:dyDescent="0.2">
      <c r="D106" s="1">
        <v>92</v>
      </c>
      <c r="E106" s="2">
        <v>3.9445999999999999</v>
      </c>
      <c r="F106" s="2">
        <v>3.0954999999999999</v>
      </c>
      <c r="G106" s="2">
        <v>2.7035999999999998</v>
      </c>
      <c r="H106" s="2">
        <v>2.4706999999999999</v>
      </c>
      <c r="I106" s="2">
        <v>2.3134000000000001</v>
      </c>
      <c r="J106" s="2">
        <v>2.1987999999999999</v>
      </c>
      <c r="K106" s="2">
        <v>2.1107999999999998</v>
      </c>
      <c r="L106" s="2">
        <v>2.0407000000000002</v>
      </c>
      <c r="M106" s="2">
        <v>1.9833000000000001</v>
      </c>
      <c r="N106" s="2">
        <v>1.9352</v>
      </c>
      <c r="O106" s="2">
        <v>1.8943000000000001</v>
      </c>
      <c r="P106" s="2">
        <v>1.8589</v>
      </c>
      <c r="Q106" s="2">
        <v>1.8280000000000001</v>
      </c>
      <c r="R106" s="2">
        <v>1.8008</v>
      </c>
      <c r="S106" s="2">
        <v>1.7764</v>
      </c>
      <c r="T106" s="2">
        <v>1.7545999999999999</v>
      </c>
      <c r="U106" s="2">
        <v>1.7350000000000001</v>
      </c>
      <c r="V106" s="2">
        <v>1.7170000000000001</v>
      </c>
      <c r="W106" s="2">
        <v>1.7007000000000001</v>
      </c>
      <c r="X106" s="2">
        <v>1.6857</v>
      </c>
    </row>
    <row r="107" spans="4:24" x14ac:dyDescent="0.2">
      <c r="D107" s="1">
        <v>93</v>
      </c>
      <c r="E107" s="2">
        <v>3.9434999999999998</v>
      </c>
      <c r="F107" s="2">
        <v>3.0943999999999998</v>
      </c>
      <c r="G107" s="2">
        <v>2.7025000000000001</v>
      </c>
      <c r="H107" s="2">
        <v>2.4695999999999998</v>
      </c>
      <c r="I107" s="2">
        <v>2.3123</v>
      </c>
      <c r="J107" s="2">
        <v>2.1977000000000002</v>
      </c>
      <c r="K107" s="2">
        <v>2.1097000000000001</v>
      </c>
      <c r="L107" s="2">
        <v>2.0394999999999999</v>
      </c>
      <c r="M107" s="2">
        <v>1.9821</v>
      </c>
      <c r="N107" s="2">
        <v>1.9339999999999999</v>
      </c>
      <c r="O107" s="2">
        <v>1.8931</v>
      </c>
      <c r="P107" s="2">
        <v>1.8577999999999999</v>
      </c>
      <c r="Q107" s="2">
        <v>1.8269</v>
      </c>
      <c r="R107" s="2">
        <v>1.7996000000000001</v>
      </c>
      <c r="S107" s="2">
        <v>1.7753000000000001</v>
      </c>
      <c r="T107" s="2">
        <v>1.7534000000000001</v>
      </c>
      <c r="U107" s="2">
        <v>1.7337</v>
      </c>
      <c r="V107" s="2">
        <v>1.7158</v>
      </c>
      <c r="W107" s="2">
        <v>1.6995</v>
      </c>
      <c r="X107" s="2">
        <v>1.6845000000000001</v>
      </c>
    </row>
    <row r="108" spans="4:24" x14ac:dyDescent="0.2">
      <c r="D108" s="1">
        <v>94</v>
      </c>
      <c r="E108" s="2">
        <v>3.9422999999999999</v>
      </c>
      <c r="F108" s="2">
        <v>3.0933000000000002</v>
      </c>
      <c r="G108" s="2">
        <v>2.7014</v>
      </c>
      <c r="H108" s="2">
        <v>2.4685000000000001</v>
      </c>
      <c r="I108" s="2">
        <v>2.3113000000000001</v>
      </c>
      <c r="J108" s="2">
        <v>2.1966000000000001</v>
      </c>
      <c r="K108" s="2">
        <v>2.1086</v>
      </c>
      <c r="L108" s="2">
        <v>2.0385</v>
      </c>
      <c r="M108" s="2">
        <v>1.9810000000000001</v>
      </c>
      <c r="N108" s="2">
        <v>1.9329000000000001</v>
      </c>
      <c r="O108" s="2">
        <v>1.8919999999999999</v>
      </c>
      <c r="P108" s="2">
        <v>1.8566</v>
      </c>
      <c r="Q108" s="2">
        <v>1.8257000000000001</v>
      </c>
      <c r="R108" s="2">
        <v>1.7984</v>
      </c>
      <c r="S108" s="2">
        <v>1.7741</v>
      </c>
      <c r="T108" s="2">
        <v>1.7522</v>
      </c>
      <c r="U108" s="2">
        <v>1.7324999999999999</v>
      </c>
      <c r="V108" s="2">
        <v>1.7145999999999999</v>
      </c>
      <c r="W108" s="2">
        <v>1.6981999999999999</v>
      </c>
      <c r="X108" s="2">
        <v>1.6832</v>
      </c>
    </row>
    <row r="109" spans="4:24" x14ac:dyDescent="0.2">
      <c r="D109" s="1">
        <v>95</v>
      </c>
      <c r="E109" s="2">
        <v>3.9411999999999998</v>
      </c>
      <c r="F109" s="2">
        <v>3.0922000000000001</v>
      </c>
      <c r="G109" s="2">
        <v>2.7004000000000001</v>
      </c>
      <c r="H109" s="2">
        <v>2.4674999999999998</v>
      </c>
      <c r="I109" s="2">
        <v>2.3102</v>
      </c>
      <c r="J109" s="2">
        <v>2.1955</v>
      </c>
      <c r="K109" s="2">
        <v>2.1074999999999999</v>
      </c>
      <c r="L109" s="2">
        <v>2.0373999999999999</v>
      </c>
      <c r="M109" s="2">
        <v>1.9799</v>
      </c>
      <c r="N109" s="2">
        <v>1.9318</v>
      </c>
      <c r="O109" s="2">
        <v>1.8909</v>
      </c>
      <c r="P109" s="2">
        <v>1.8554999999999999</v>
      </c>
      <c r="Q109" s="2">
        <v>1.8246</v>
      </c>
      <c r="R109" s="2">
        <v>1.7972999999999999</v>
      </c>
      <c r="S109" s="2">
        <v>1.7728999999999999</v>
      </c>
      <c r="T109" s="2">
        <v>1.7511000000000001</v>
      </c>
      <c r="U109" s="2">
        <v>1.7314000000000001</v>
      </c>
      <c r="V109" s="2">
        <v>1.7134</v>
      </c>
      <c r="W109" s="2">
        <v>1.6971000000000001</v>
      </c>
      <c r="X109" s="2">
        <v>1.6819999999999999</v>
      </c>
    </row>
    <row r="110" spans="4:24" x14ac:dyDescent="0.2">
      <c r="D110" s="1">
        <v>96</v>
      </c>
      <c r="E110" s="2">
        <v>3.9401999999999999</v>
      </c>
      <c r="F110" s="2">
        <v>3.0912000000000002</v>
      </c>
      <c r="G110" s="2">
        <v>2.6993999999999998</v>
      </c>
      <c r="H110" s="2">
        <v>2.4664999999999999</v>
      </c>
      <c r="I110" s="2">
        <v>2.3092000000000001</v>
      </c>
      <c r="J110" s="2">
        <v>2.1945000000000001</v>
      </c>
      <c r="K110" s="2">
        <v>2.1065</v>
      </c>
      <c r="L110" s="2">
        <v>2.0363000000000002</v>
      </c>
      <c r="M110" s="2">
        <v>1.9789000000000001</v>
      </c>
      <c r="N110" s="2">
        <v>1.9308000000000001</v>
      </c>
      <c r="O110" s="2">
        <v>1.8897999999999999</v>
      </c>
      <c r="P110" s="2">
        <v>1.8544</v>
      </c>
      <c r="Q110" s="2">
        <v>1.8234999999999999</v>
      </c>
      <c r="R110" s="2">
        <v>1.7961</v>
      </c>
      <c r="S110" s="2">
        <v>1.7718</v>
      </c>
      <c r="T110" s="2">
        <v>1.75</v>
      </c>
      <c r="U110" s="2">
        <v>1.7302</v>
      </c>
      <c r="V110" s="2">
        <v>1.7122999999999999</v>
      </c>
      <c r="W110" s="2">
        <v>1.6959</v>
      </c>
      <c r="X110" s="2">
        <v>1.6809000000000001</v>
      </c>
    </row>
    <row r="111" spans="4:24" x14ac:dyDescent="0.2">
      <c r="D111" s="1">
        <v>97</v>
      </c>
      <c r="E111" s="2">
        <v>3.9392</v>
      </c>
      <c r="F111" s="2">
        <v>3.0901999999999998</v>
      </c>
      <c r="G111" s="2">
        <v>2.6983999999999999</v>
      </c>
      <c r="H111" s="2">
        <v>2.4655</v>
      </c>
      <c r="I111" s="2">
        <v>2.3081999999999998</v>
      </c>
      <c r="J111" s="2">
        <v>2.1934999999999998</v>
      </c>
      <c r="K111" s="2">
        <v>2.1053999999999999</v>
      </c>
      <c r="L111" s="2">
        <v>2.0352999999999999</v>
      </c>
      <c r="M111" s="2">
        <v>1.9778</v>
      </c>
      <c r="N111" s="2">
        <v>1.9297</v>
      </c>
      <c r="O111" s="2">
        <v>1.8888</v>
      </c>
      <c r="P111" s="2">
        <v>1.8532999999999999</v>
      </c>
      <c r="Q111" s="2">
        <v>1.8224</v>
      </c>
      <c r="R111" s="2">
        <v>1.7950999999999999</v>
      </c>
      <c r="S111" s="2">
        <v>1.7706999999999999</v>
      </c>
      <c r="T111" s="2">
        <v>1.7487999999999999</v>
      </c>
      <c r="U111" s="2">
        <v>1.7291000000000001</v>
      </c>
      <c r="V111" s="2">
        <v>1.7112000000000001</v>
      </c>
      <c r="W111" s="2">
        <v>1.6948000000000001</v>
      </c>
      <c r="X111" s="2">
        <v>1.6797</v>
      </c>
    </row>
    <row r="112" spans="4:24" x14ac:dyDescent="0.2">
      <c r="D112" s="1">
        <v>98</v>
      </c>
      <c r="E112" s="2">
        <v>3.9380999999999999</v>
      </c>
      <c r="F112" s="2">
        <v>3.0891999999999999</v>
      </c>
      <c r="G112" s="2">
        <v>2.6974</v>
      </c>
      <c r="H112" s="2">
        <v>2.4645000000000001</v>
      </c>
      <c r="I112" s="2">
        <v>2.3071999999999999</v>
      </c>
      <c r="J112" s="2">
        <v>2.1924999999999999</v>
      </c>
      <c r="K112" s="2">
        <v>2.1044</v>
      </c>
      <c r="L112" s="2">
        <v>2.0343</v>
      </c>
      <c r="M112" s="2">
        <v>1.9767999999999999</v>
      </c>
      <c r="N112" s="2">
        <v>1.9287000000000001</v>
      </c>
      <c r="O112" s="2">
        <v>1.8876999999999999</v>
      </c>
      <c r="P112" s="2">
        <v>1.8523000000000001</v>
      </c>
      <c r="Q112" s="2">
        <v>1.8212999999999999</v>
      </c>
      <c r="R112" s="2">
        <v>1.794</v>
      </c>
      <c r="S112" s="2">
        <v>1.7696000000000001</v>
      </c>
      <c r="T112" s="2">
        <v>1.7478</v>
      </c>
      <c r="U112" s="2">
        <v>1.728</v>
      </c>
      <c r="V112" s="2">
        <v>1.71</v>
      </c>
      <c r="W112" s="2">
        <v>1.6936</v>
      </c>
      <c r="X112" s="2">
        <v>1.6786000000000001</v>
      </c>
    </row>
    <row r="113" spans="4:24" x14ac:dyDescent="0.2">
      <c r="D113" s="1">
        <v>99</v>
      </c>
      <c r="E113" s="2">
        <v>3.9371</v>
      </c>
      <c r="F113" s="2">
        <v>3.0882000000000001</v>
      </c>
      <c r="G113" s="2">
        <v>2.6964999999999999</v>
      </c>
      <c r="H113" s="2">
        <v>2.4636</v>
      </c>
      <c r="I113" s="2">
        <v>2.3062</v>
      </c>
      <c r="J113" s="2">
        <v>2.1916000000000002</v>
      </c>
      <c r="K113" s="2">
        <v>2.1034999999999999</v>
      </c>
      <c r="L113" s="2">
        <v>2.0333000000000001</v>
      </c>
      <c r="M113" s="2">
        <v>1.9758</v>
      </c>
      <c r="N113" s="2">
        <v>1.9277</v>
      </c>
      <c r="O113" s="2">
        <v>1.8867</v>
      </c>
      <c r="P113" s="2">
        <v>1.8512999999999999</v>
      </c>
      <c r="Q113" s="2">
        <v>1.8203</v>
      </c>
      <c r="R113" s="2">
        <v>1.7928999999999999</v>
      </c>
      <c r="S113" s="2">
        <v>1.7685999999999999</v>
      </c>
      <c r="T113" s="2">
        <v>1.7466999999999999</v>
      </c>
      <c r="U113" s="2">
        <v>1.7269000000000001</v>
      </c>
      <c r="V113" s="2">
        <v>1.7090000000000001</v>
      </c>
      <c r="W113" s="2">
        <v>1.6926000000000001</v>
      </c>
      <c r="X113" s="2">
        <v>1.6775</v>
      </c>
    </row>
    <row r="114" spans="4:24" x14ac:dyDescent="0.2">
      <c r="D114" s="1">
        <v>100</v>
      </c>
      <c r="E114" s="2">
        <v>3.9361000000000002</v>
      </c>
      <c r="F114" s="2">
        <v>3.0872999999999999</v>
      </c>
      <c r="G114" s="2">
        <v>2.6955</v>
      </c>
      <c r="H114" s="2">
        <v>2.4626000000000001</v>
      </c>
      <c r="I114" s="2">
        <v>2.3052999999999999</v>
      </c>
      <c r="J114" s="2">
        <v>2.1905999999999999</v>
      </c>
      <c r="K114" s="2">
        <v>2.1025</v>
      </c>
      <c r="L114" s="2">
        <v>2.0323000000000002</v>
      </c>
      <c r="M114" s="2">
        <v>1.9748000000000001</v>
      </c>
      <c r="N114" s="2">
        <v>1.9267000000000001</v>
      </c>
      <c r="O114" s="2">
        <v>1.8856999999999999</v>
      </c>
      <c r="P114" s="2">
        <v>1.8502000000000001</v>
      </c>
      <c r="Q114" s="2">
        <v>1.8192999999999999</v>
      </c>
      <c r="R114" s="2">
        <v>1.7919</v>
      </c>
      <c r="S114" s="2">
        <v>1.7675000000000001</v>
      </c>
      <c r="T114" s="2">
        <v>1.7456</v>
      </c>
      <c r="U114" s="2">
        <v>1.7259</v>
      </c>
      <c r="V114" s="2">
        <v>1.7079</v>
      </c>
      <c r="W114" s="2">
        <v>1.6915</v>
      </c>
      <c r="X114" s="2">
        <v>1.6763999999999999</v>
      </c>
    </row>
    <row r="115" spans="4:24" x14ac:dyDescent="0.2">
      <c r="D115" s="1" t="s">
        <v>15</v>
      </c>
      <c r="E115" s="1">
        <v>1</v>
      </c>
      <c r="F115" s="1">
        <v>2</v>
      </c>
      <c r="G115" s="1">
        <v>3</v>
      </c>
      <c r="H115" s="1">
        <v>4</v>
      </c>
      <c r="I115" s="1">
        <v>5</v>
      </c>
      <c r="J115" s="1">
        <v>6</v>
      </c>
      <c r="K115" s="1">
        <v>7</v>
      </c>
      <c r="L115" s="1">
        <v>8</v>
      </c>
      <c r="M115" s="1">
        <v>9</v>
      </c>
      <c r="N115" s="1">
        <v>10</v>
      </c>
      <c r="O115" s="1">
        <v>11</v>
      </c>
      <c r="P115" s="1">
        <v>12</v>
      </c>
      <c r="Q115" s="1">
        <v>13</v>
      </c>
      <c r="R115" s="1">
        <v>14</v>
      </c>
      <c r="S115" s="1">
        <v>15</v>
      </c>
      <c r="T115" s="1">
        <v>16</v>
      </c>
      <c r="U115" s="1">
        <v>17</v>
      </c>
      <c r="V115" s="1">
        <v>18</v>
      </c>
      <c r="W115" s="1">
        <v>19</v>
      </c>
      <c r="X115" s="1">
        <v>20</v>
      </c>
    </row>
    <row r="116" spans="4:24" x14ac:dyDescent="0.2">
      <c r="D116" s="1" t="s">
        <v>16</v>
      </c>
      <c r="E116" s="1" t="s">
        <v>17</v>
      </c>
      <c r="F116" s="1"/>
      <c r="G116" s="1"/>
      <c r="H116" s="1"/>
      <c r="I116" s="1"/>
      <c r="J116" s="1"/>
      <c r="K116" s="1"/>
      <c r="L116" s="1"/>
      <c r="M116" s="1"/>
      <c r="N116" s="1"/>
      <c r="O116" s="1"/>
      <c r="P116" s="1"/>
      <c r="Q116" s="1"/>
      <c r="R116" s="1"/>
      <c r="S116" s="1"/>
      <c r="T116" s="1"/>
      <c r="U116" s="1"/>
      <c r="V116" s="1"/>
      <c r="W116" s="1"/>
      <c r="X116" s="1"/>
    </row>
    <row r="117" spans="4:24" x14ac:dyDescent="0.2">
      <c r="D117" s="1">
        <v>101</v>
      </c>
      <c r="E117" s="2">
        <v>3.9352</v>
      </c>
      <c r="F117" s="2">
        <v>3.0863999999999998</v>
      </c>
      <c r="G117" s="2">
        <v>2.6945999999999999</v>
      </c>
      <c r="H117" s="2">
        <v>2.4617</v>
      </c>
      <c r="I117" s="2">
        <v>2.3043999999999998</v>
      </c>
      <c r="J117" s="2">
        <v>2.1897000000000002</v>
      </c>
      <c r="K117" s="2">
        <v>2.1015999999999999</v>
      </c>
      <c r="L117" s="2">
        <v>2.0314000000000001</v>
      </c>
      <c r="M117" s="2">
        <v>1.9739</v>
      </c>
      <c r="N117" s="2">
        <v>1.9257</v>
      </c>
      <c r="O117" s="2">
        <v>1.8847</v>
      </c>
      <c r="P117" s="2">
        <v>1.8492999999999999</v>
      </c>
      <c r="Q117" s="2">
        <v>1.8183</v>
      </c>
      <c r="R117" s="2">
        <v>1.7908999999999999</v>
      </c>
      <c r="S117" s="2">
        <v>1.7665</v>
      </c>
      <c r="T117" s="2">
        <v>1.7445999999999999</v>
      </c>
      <c r="U117" s="2">
        <v>1.7248000000000001</v>
      </c>
      <c r="V117" s="2">
        <v>1.7069000000000001</v>
      </c>
      <c r="W117" s="2">
        <v>1.6903999999999999</v>
      </c>
      <c r="X117" s="2">
        <v>1.6754</v>
      </c>
    </row>
    <row r="118" spans="4:24" x14ac:dyDescent="0.2">
      <c r="D118" s="1">
        <v>102</v>
      </c>
      <c r="E118" s="2">
        <v>3.9342000000000001</v>
      </c>
      <c r="F118" s="2">
        <v>3.0853999999999999</v>
      </c>
      <c r="G118" s="2">
        <v>2.6937000000000002</v>
      </c>
      <c r="H118" s="2">
        <v>2.4607999999999999</v>
      </c>
      <c r="I118" s="2">
        <v>2.3035000000000001</v>
      </c>
      <c r="J118" s="2">
        <v>2.1888000000000001</v>
      </c>
      <c r="K118" s="2">
        <v>2.1006999999999998</v>
      </c>
      <c r="L118" s="2">
        <v>2.0304000000000002</v>
      </c>
      <c r="M118" s="2">
        <v>1.9729000000000001</v>
      </c>
      <c r="N118" s="2">
        <v>1.9248000000000001</v>
      </c>
      <c r="O118" s="2">
        <v>1.8837999999999999</v>
      </c>
      <c r="P118" s="2">
        <v>1.8483000000000001</v>
      </c>
      <c r="Q118" s="2">
        <v>1.8172999999999999</v>
      </c>
      <c r="R118" s="2">
        <v>1.7899</v>
      </c>
      <c r="S118" s="2">
        <v>1.7655000000000001</v>
      </c>
      <c r="T118" s="2">
        <v>1.7436</v>
      </c>
      <c r="U118" s="2">
        <v>1.7238</v>
      </c>
      <c r="V118" s="2">
        <v>1.7058</v>
      </c>
      <c r="W118" s="2">
        <v>1.6894</v>
      </c>
      <c r="X118" s="2">
        <v>1.6744000000000001</v>
      </c>
    </row>
    <row r="119" spans="4:24" x14ac:dyDescent="0.2">
      <c r="D119" s="1">
        <v>103</v>
      </c>
      <c r="E119" s="2">
        <v>3.9333</v>
      </c>
      <c r="F119" s="2">
        <v>3.0846</v>
      </c>
      <c r="G119" s="2">
        <v>2.6928000000000001</v>
      </c>
      <c r="H119" s="2">
        <v>2.4599000000000002</v>
      </c>
      <c r="I119" s="2">
        <v>2.3026</v>
      </c>
      <c r="J119" s="2">
        <v>2.1879</v>
      </c>
      <c r="K119" s="2">
        <v>2.0996999999999999</v>
      </c>
      <c r="L119" s="2">
        <v>2.0295000000000001</v>
      </c>
      <c r="M119" s="2">
        <v>1.972</v>
      </c>
      <c r="N119" s="2">
        <v>1.9238</v>
      </c>
      <c r="O119" s="2">
        <v>1.8828</v>
      </c>
      <c r="P119" s="2">
        <v>1.8473999999999999</v>
      </c>
      <c r="Q119" s="2">
        <v>1.8163</v>
      </c>
      <c r="R119" s="2">
        <v>1.7889999999999999</v>
      </c>
      <c r="S119" s="2">
        <v>1.7645</v>
      </c>
      <c r="T119" s="2">
        <v>1.7426999999999999</v>
      </c>
      <c r="U119" s="2">
        <v>1.7229000000000001</v>
      </c>
      <c r="V119" s="2">
        <v>1.7048000000000001</v>
      </c>
      <c r="W119" s="2">
        <v>1.6883999999999999</v>
      </c>
      <c r="X119" s="2">
        <v>1.6733</v>
      </c>
    </row>
    <row r="120" spans="4:24" x14ac:dyDescent="0.2">
      <c r="D120" s="1">
        <v>104</v>
      </c>
      <c r="E120" s="2">
        <v>3.9325000000000001</v>
      </c>
      <c r="F120" s="2">
        <v>3.0836999999999999</v>
      </c>
      <c r="G120" s="2">
        <v>2.6920000000000002</v>
      </c>
      <c r="H120" s="2">
        <v>2.4590999999999998</v>
      </c>
      <c r="I120" s="2">
        <v>2.3016999999999999</v>
      </c>
      <c r="J120" s="2">
        <v>2.1869999999999998</v>
      </c>
      <c r="K120" s="2">
        <v>2.0989</v>
      </c>
      <c r="L120" s="2">
        <v>2.0287000000000002</v>
      </c>
      <c r="M120" s="2">
        <v>1.9711000000000001</v>
      </c>
      <c r="N120" s="2">
        <v>1.9229000000000001</v>
      </c>
      <c r="O120" s="2">
        <v>1.8818999999999999</v>
      </c>
      <c r="P120" s="2">
        <v>1.8464</v>
      </c>
      <c r="Q120" s="2">
        <v>1.8153999999999999</v>
      </c>
      <c r="R120" s="2">
        <v>1.788</v>
      </c>
      <c r="S120" s="2">
        <v>1.7636000000000001</v>
      </c>
      <c r="T120" s="2">
        <v>1.7417</v>
      </c>
      <c r="U120" s="2">
        <v>1.7219</v>
      </c>
      <c r="V120" s="2">
        <v>1.7039</v>
      </c>
      <c r="W120" s="2">
        <v>1.6874</v>
      </c>
      <c r="X120" s="2">
        <v>1.6722999999999999</v>
      </c>
    </row>
    <row r="121" spans="4:24" x14ac:dyDescent="0.2">
      <c r="D121" s="1">
        <v>105</v>
      </c>
      <c r="E121" s="2">
        <v>3.9316</v>
      </c>
      <c r="F121" s="2">
        <v>3.0828000000000002</v>
      </c>
      <c r="G121" s="2">
        <v>2.6911999999999998</v>
      </c>
      <c r="H121" s="2">
        <v>2.4582000000000002</v>
      </c>
      <c r="I121" s="2">
        <v>2.3008999999999999</v>
      </c>
      <c r="J121" s="2">
        <v>2.1861000000000002</v>
      </c>
      <c r="K121" s="2">
        <v>2.0979999999999999</v>
      </c>
      <c r="L121" s="2">
        <v>2.0278</v>
      </c>
      <c r="M121" s="2">
        <v>1.9702</v>
      </c>
      <c r="N121" s="2">
        <v>1.9219999999999999</v>
      </c>
      <c r="O121" s="2">
        <v>1.881</v>
      </c>
      <c r="P121" s="2">
        <v>1.8454999999999999</v>
      </c>
      <c r="Q121" s="2">
        <v>1.8145</v>
      </c>
      <c r="R121" s="2">
        <v>1.7870999999999999</v>
      </c>
      <c r="S121" s="2">
        <v>1.7626999999999999</v>
      </c>
      <c r="T121" s="2">
        <v>1.7406999999999999</v>
      </c>
      <c r="U121" s="2">
        <v>1.7209000000000001</v>
      </c>
      <c r="V121" s="2">
        <v>1.7029000000000001</v>
      </c>
      <c r="W121" s="2">
        <v>1.6865000000000001</v>
      </c>
      <c r="X121" s="2">
        <v>1.6714</v>
      </c>
    </row>
    <row r="122" spans="4:24" x14ac:dyDescent="0.2">
      <c r="D122" s="1">
        <v>106</v>
      </c>
      <c r="E122" s="2">
        <v>3.9306999999999999</v>
      </c>
      <c r="F122" s="2">
        <v>3.0819999999999999</v>
      </c>
      <c r="G122" s="2">
        <v>2.6903000000000001</v>
      </c>
      <c r="H122" s="2">
        <v>2.4573999999999998</v>
      </c>
      <c r="I122" s="2">
        <v>2.2999999999999998</v>
      </c>
      <c r="J122" s="2">
        <v>2.1852999999999998</v>
      </c>
      <c r="K122" s="2">
        <v>2.0971000000000002</v>
      </c>
      <c r="L122" s="2">
        <v>2.0268999999999999</v>
      </c>
      <c r="M122" s="2">
        <v>1.9694</v>
      </c>
      <c r="N122" s="2">
        <v>1.9212</v>
      </c>
      <c r="O122" s="2">
        <v>1.8801000000000001</v>
      </c>
      <c r="P122" s="2">
        <v>1.8446</v>
      </c>
      <c r="Q122" s="2">
        <v>1.8136000000000001</v>
      </c>
      <c r="R122" s="2">
        <v>1.7862</v>
      </c>
      <c r="S122" s="2">
        <v>1.7618</v>
      </c>
      <c r="T122" s="2">
        <v>1.7398</v>
      </c>
      <c r="U122" s="2">
        <v>1.72</v>
      </c>
      <c r="V122" s="2">
        <v>1.702</v>
      </c>
      <c r="W122" s="2">
        <v>1.6855</v>
      </c>
      <c r="X122" s="2">
        <v>1.6704000000000001</v>
      </c>
    </row>
    <row r="123" spans="4:24" x14ac:dyDescent="0.2">
      <c r="D123" s="1">
        <v>107</v>
      </c>
      <c r="E123" s="2">
        <v>3.9298999999999999</v>
      </c>
      <c r="F123" s="2">
        <v>3.0811999999999999</v>
      </c>
      <c r="G123" s="2">
        <v>2.6894999999999998</v>
      </c>
      <c r="H123" s="2">
        <v>2.4565999999999999</v>
      </c>
      <c r="I123" s="2">
        <v>2.2991999999999999</v>
      </c>
      <c r="J123" s="2">
        <v>2.1844999999999999</v>
      </c>
      <c r="K123" s="2">
        <v>2.0962999999999998</v>
      </c>
      <c r="L123" s="2">
        <v>2.0261</v>
      </c>
      <c r="M123" s="2">
        <v>1.9684999999999999</v>
      </c>
      <c r="N123" s="2">
        <v>1.9202999999999999</v>
      </c>
      <c r="O123" s="2">
        <v>1.8792</v>
      </c>
      <c r="P123" s="2">
        <v>1.8438000000000001</v>
      </c>
      <c r="Q123" s="2">
        <v>1.8127</v>
      </c>
      <c r="R123" s="2">
        <v>1.7853000000000001</v>
      </c>
      <c r="S123" s="2">
        <v>1.7607999999999999</v>
      </c>
      <c r="T123" s="2">
        <v>1.7388999999999999</v>
      </c>
      <c r="U123" s="2">
        <v>1.7191000000000001</v>
      </c>
      <c r="V123" s="2">
        <v>1.7011000000000001</v>
      </c>
      <c r="W123" s="2">
        <v>1.6846000000000001</v>
      </c>
      <c r="X123" s="2">
        <v>1.6695</v>
      </c>
    </row>
    <row r="124" spans="4:24" x14ac:dyDescent="0.2">
      <c r="D124" s="1">
        <v>108</v>
      </c>
      <c r="E124" s="2">
        <v>3.9289999999999998</v>
      </c>
      <c r="F124" s="2">
        <v>3.0804</v>
      </c>
      <c r="G124" s="2">
        <v>2.6886999999999999</v>
      </c>
      <c r="H124" s="2">
        <v>2.4558</v>
      </c>
      <c r="I124" s="2">
        <v>2.2984</v>
      </c>
      <c r="J124" s="2">
        <v>2.1837</v>
      </c>
      <c r="K124" s="2">
        <v>2.0954999999999999</v>
      </c>
      <c r="L124" s="2">
        <v>2.0251999999999999</v>
      </c>
      <c r="M124" s="2">
        <v>1.9677</v>
      </c>
      <c r="N124" s="2">
        <v>1.9195</v>
      </c>
      <c r="O124" s="2">
        <v>1.8784000000000001</v>
      </c>
      <c r="P124" s="2">
        <v>1.8429</v>
      </c>
      <c r="Q124" s="2">
        <v>1.8118000000000001</v>
      </c>
      <c r="R124" s="2">
        <v>1.7844</v>
      </c>
      <c r="S124" s="2">
        <v>1.7599</v>
      </c>
      <c r="T124" s="2">
        <v>1.738</v>
      </c>
      <c r="U124" s="2">
        <v>1.7181999999999999</v>
      </c>
      <c r="V124" s="2">
        <v>1.7000999999999999</v>
      </c>
      <c r="W124" s="2">
        <v>1.6837</v>
      </c>
      <c r="X124" s="2">
        <v>1.6685000000000001</v>
      </c>
    </row>
    <row r="125" spans="4:24" x14ac:dyDescent="0.2">
      <c r="D125" s="1">
        <v>109</v>
      </c>
      <c r="E125" s="2">
        <v>3.9281999999999999</v>
      </c>
      <c r="F125" s="2">
        <v>3.0796000000000001</v>
      </c>
      <c r="G125" s="2">
        <v>2.6879</v>
      </c>
      <c r="H125" s="2">
        <v>2.4550000000000001</v>
      </c>
      <c r="I125" s="2">
        <v>2.2976000000000001</v>
      </c>
      <c r="J125" s="2">
        <v>2.1827999999999999</v>
      </c>
      <c r="K125" s="2">
        <v>2.0947</v>
      </c>
      <c r="L125" s="2">
        <v>2.0244</v>
      </c>
      <c r="M125" s="2">
        <v>1.9669000000000001</v>
      </c>
      <c r="N125" s="2">
        <v>1.9186000000000001</v>
      </c>
      <c r="O125" s="2">
        <v>1.8775999999999999</v>
      </c>
      <c r="P125" s="2">
        <v>1.8421000000000001</v>
      </c>
      <c r="Q125" s="2">
        <v>1.8109999999999999</v>
      </c>
      <c r="R125" s="2">
        <v>1.7835000000000001</v>
      </c>
      <c r="S125" s="2">
        <v>1.7591000000000001</v>
      </c>
      <c r="T125" s="2">
        <v>1.7371000000000001</v>
      </c>
      <c r="U125" s="2">
        <v>1.7173</v>
      </c>
      <c r="V125" s="2">
        <v>1.6992</v>
      </c>
      <c r="W125" s="2">
        <v>1.6828000000000001</v>
      </c>
      <c r="X125" s="2">
        <v>1.6676</v>
      </c>
    </row>
    <row r="126" spans="4:24" x14ac:dyDescent="0.2">
      <c r="D126" s="1">
        <v>110</v>
      </c>
      <c r="E126" s="2">
        <v>3.9274</v>
      </c>
      <c r="F126" s="2">
        <v>3.0788000000000002</v>
      </c>
      <c r="G126" s="2">
        <v>2.6871999999999998</v>
      </c>
      <c r="H126" s="2">
        <v>2.4542000000000002</v>
      </c>
      <c r="I126" s="2">
        <v>2.2968000000000002</v>
      </c>
      <c r="J126" s="2">
        <v>2.1821000000000002</v>
      </c>
      <c r="K126" s="2">
        <v>2.0939000000000001</v>
      </c>
      <c r="L126" s="2">
        <v>2.0236000000000001</v>
      </c>
      <c r="M126" s="2">
        <v>1.9661</v>
      </c>
      <c r="N126" s="2">
        <v>1.9177999999999999</v>
      </c>
      <c r="O126" s="2">
        <v>1.8767</v>
      </c>
      <c r="P126" s="2">
        <v>1.8411999999999999</v>
      </c>
      <c r="Q126" s="2">
        <v>1.8102</v>
      </c>
      <c r="R126" s="2">
        <v>1.7827</v>
      </c>
      <c r="S126" s="2">
        <v>1.7582</v>
      </c>
      <c r="T126" s="2">
        <v>1.7363</v>
      </c>
      <c r="U126" s="2">
        <v>1.7163999999999999</v>
      </c>
      <c r="V126" s="2">
        <v>1.6983999999999999</v>
      </c>
      <c r="W126" s="2">
        <v>1.6819</v>
      </c>
      <c r="X126" s="2">
        <v>1.6667000000000001</v>
      </c>
    </row>
    <row r="127" spans="4:24" x14ac:dyDescent="0.2">
      <c r="D127" s="1">
        <v>111</v>
      </c>
      <c r="E127" s="2">
        <v>3.9266000000000001</v>
      </c>
      <c r="F127" s="2">
        <v>3.0781000000000001</v>
      </c>
      <c r="G127" s="2">
        <v>2.6863999999999999</v>
      </c>
      <c r="H127" s="2">
        <v>2.4535</v>
      </c>
      <c r="I127" s="2">
        <v>2.2961</v>
      </c>
      <c r="J127" s="2">
        <v>2.1812999999999998</v>
      </c>
      <c r="K127" s="2">
        <v>2.0931000000000002</v>
      </c>
      <c r="L127" s="2">
        <v>2.0228999999999999</v>
      </c>
      <c r="M127" s="2">
        <v>1.9653</v>
      </c>
      <c r="N127" s="2">
        <v>1.917</v>
      </c>
      <c r="O127" s="2">
        <v>1.8758999999999999</v>
      </c>
      <c r="P127" s="2">
        <v>1.8404</v>
      </c>
      <c r="Q127" s="2">
        <v>1.8092999999999999</v>
      </c>
      <c r="R127" s="2">
        <v>1.7819</v>
      </c>
      <c r="S127" s="2">
        <v>1.7574000000000001</v>
      </c>
      <c r="T127" s="2">
        <v>1.7354000000000001</v>
      </c>
      <c r="U127" s="2">
        <v>1.7156</v>
      </c>
      <c r="V127" s="2">
        <v>1.6975</v>
      </c>
      <c r="W127" s="2">
        <v>1.681</v>
      </c>
      <c r="X127" s="2">
        <v>1.6658999999999999</v>
      </c>
    </row>
    <row r="128" spans="4:24" x14ac:dyDescent="0.2">
      <c r="D128" s="1">
        <v>112</v>
      </c>
      <c r="E128" s="2">
        <v>3.9258000000000002</v>
      </c>
      <c r="F128" s="2">
        <v>3.0773000000000001</v>
      </c>
      <c r="G128" s="2">
        <v>2.6857000000000002</v>
      </c>
      <c r="H128" s="2">
        <v>2.4527000000000001</v>
      </c>
      <c r="I128" s="2">
        <v>2.2953999999999999</v>
      </c>
      <c r="J128" s="2">
        <v>2.1806000000000001</v>
      </c>
      <c r="K128" s="2">
        <v>2.0924</v>
      </c>
      <c r="L128" s="2">
        <v>2.0221</v>
      </c>
      <c r="M128" s="2">
        <v>1.9644999999999999</v>
      </c>
      <c r="N128" s="2">
        <v>1.9162999999999999</v>
      </c>
      <c r="O128" s="2">
        <v>1.8751</v>
      </c>
      <c r="P128" s="2">
        <v>1.8395999999999999</v>
      </c>
      <c r="Q128" s="2">
        <v>1.8085</v>
      </c>
      <c r="R128" s="2">
        <v>1.7810999999999999</v>
      </c>
      <c r="S128" s="2">
        <v>1.7565999999999999</v>
      </c>
      <c r="T128" s="2">
        <v>1.7345999999999999</v>
      </c>
      <c r="U128" s="2">
        <v>1.7146999999999999</v>
      </c>
      <c r="V128" s="2">
        <v>1.6967000000000001</v>
      </c>
      <c r="W128" s="2">
        <v>1.6801999999999999</v>
      </c>
      <c r="X128" s="2">
        <v>1.665</v>
      </c>
    </row>
    <row r="129" spans="4:24" x14ac:dyDescent="0.2">
      <c r="D129" s="1">
        <v>113</v>
      </c>
      <c r="E129" s="2">
        <v>3.9251</v>
      </c>
      <c r="F129" s="2">
        <v>3.0766</v>
      </c>
      <c r="G129" s="2">
        <v>2.6848999999999998</v>
      </c>
      <c r="H129" s="2">
        <v>2.452</v>
      </c>
      <c r="I129" s="2">
        <v>2.2946</v>
      </c>
      <c r="J129" s="2">
        <v>2.1798000000000002</v>
      </c>
      <c r="K129" s="2">
        <v>2.0916000000000001</v>
      </c>
      <c r="L129" s="2">
        <v>2.0213000000000001</v>
      </c>
      <c r="M129" s="2">
        <v>1.9637</v>
      </c>
      <c r="N129" s="2">
        <v>1.9155</v>
      </c>
      <c r="O129" s="2">
        <v>1.8744000000000001</v>
      </c>
      <c r="P129" s="2">
        <v>1.8388</v>
      </c>
      <c r="Q129" s="2">
        <v>1.8077000000000001</v>
      </c>
      <c r="R129" s="2">
        <v>1.7803</v>
      </c>
      <c r="S129" s="2">
        <v>1.7558</v>
      </c>
      <c r="T129" s="2">
        <v>1.7338</v>
      </c>
      <c r="U129" s="2">
        <v>1.7139</v>
      </c>
      <c r="V129" s="2">
        <v>1.6958</v>
      </c>
      <c r="W129" s="2">
        <v>1.6793</v>
      </c>
      <c r="X129" s="2">
        <v>1.6641999999999999</v>
      </c>
    </row>
    <row r="130" spans="4:24" x14ac:dyDescent="0.2">
      <c r="D130" s="1">
        <v>114</v>
      </c>
      <c r="E130" s="2">
        <v>3.9243000000000001</v>
      </c>
      <c r="F130" s="2">
        <v>3.0758000000000001</v>
      </c>
      <c r="G130" s="2">
        <v>2.6842000000000001</v>
      </c>
      <c r="H130" s="2">
        <v>2.4512999999999998</v>
      </c>
      <c r="I130" s="2">
        <v>2.2938999999999998</v>
      </c>
      <c r="J130" s="2">
        <v>2.1791</v>
      </c>
      <c r="K130" s="2">
        <v>2.0909</v>
      </c>
      <c r="L130" s="2">
        <v>2.0206</v>
      </c>
      <c r="M130" s="2">
        <v>1.9630000000000001</v>
      </c>
      <c r="N130" s="2">
        <v>1.9147000000000001</v>
      </c>
      <c r="O130" s="2">
        <v>1.8735999999999999</v>
      </c>
      <c r="P130" s="2">
        <v>1.8381000000000001</v>
      </c>
      <c r="Q130" s="2">
        <v>1.8069</v>
      </c>
      <c r="R130" s="2">
        <v>1.7795000000000001</v>
      </c>
      <c r="S130" s="2">
        <v>1.7549999999999999</v>
      </c>
      <c r="T130" s="2">
        <v>1.7330000000000001</v>
      </c>
      <c r="U130" s="2">
        <v>1.7131000000000001</v>
      </c>
      <c r="V130" s="2">
        <v>1.6950000000000001</v>
      </c>
      <c r="W130" s="2">
        <v>1.6785000000000001</v>
      </c>
      <c r="X130" s="2">
        <v>1.6633</v>
      </c>
    </row>
    <row r="131" spans="4:24" x14ac:dyDescent="0.2">
      <c r="D131" s="1">
        <v>115</v>
      </c>
      <c r="E131" s="2">
        <v>3.9236</v>
      </c>
      <c r="F131" s="2">
        <v>3.0750999999999999</v>
      </c>
      <c r="G131" s="2">
        <v>2.6835</v>
      </c>
      <c r="H131" s="2">
        <v>2.4506000000000001</v>
      </c>
      <c r="I131" s="2">
        <v>2.2932000000000001</v>
      </c>
      <c r="J131" s="2">
        <v>2.1783999999999999</v>
      </c>
      <c r="K131" s="2">
        <v>2.0901999999999998</v>
      </c>
      <c r="L131" s="2">
        <v>2.0198999999999998</v>
      </c>
      <c r="M131" s="2">
        <v>1.9622999999999999</v>
      </c>
      <c r="N131" s="2">
        <v>1.9139999999999999</v>
      </c>
      <c r="O131" s="2">
        <v>1.8729</v>
      </c>
      <c r="P131" s="2">
        <v>1.8372999999999999</v>
      </c>
      <c r="Q131" s="2">
        <v>1.8062</v>
      </c>
      <c r="R131" s="2">
        <v>1.7786999999999999</v>
      </c>
      <c r="S131" s="2">
        <v>1.7542</v>
      </c>
      <c r="T131" s="2">
        <v>1.7322</v>
      </c>
      <c r="U131" s="2">
        <v>1.7122999999999999</v>
      </c>
      <c r="V131" s="2">
        <v>1.6941999999999999</v>
      </c>
      <c r="W131" s="2">
        <v>1.6777</v>
      </c>
      <c r="X131" s="2">
        <v>1.6625000000000001</v>
      </c>
    </row>
    <row r="132" spans="4:24" x14ac:dyDescent="0.2">
      <c r="D132" s="1">
        <v>116</v>
      </c>
      <c r="E132" s="2">
        <v>3.9228000000000001</v>
      </c>
      <c r="F132" s="2">
        <v>3.0743999999999998</v>
      </c>
      <c r="G132" s="2">
        <v>2.6827999999999999</v>
      </c>
      <c r="H132" s="2">
        <v>2.4499</v>
      </c>
      <c r="I132" s="2">
        <v>2.2925</v>
      </c>
      <c r="J132" s="2">
        <v>2.1777000000000002</v>
      </c>
      <c r="K132" s="2">
        <v>2.0895000000000001</v>
      </c>
      <c r="L132" s="2">
        <v>2.0192000000000001</v>
      </c>
      <c r="M132" s="2">
        <v>1.9615</v>
      </c>
      <c r="N132" s="2">
        <v>1.9132</v>
      </c>
      <c r="O132" s="2">
        <v>1.8721000000000001</v>
      </c>
      <c r="P132" s="2">
        <v>1.8365</v>
      </c>
      <c r="Q132" s="2">
        <v>1.8053999999999999</v>
      </c>
      <c r="R132" s="2">
        <v>1.7779</v>
      </c>
      <c r="S132" s="2">
        <v>1.7534000000000001</v>
      </c>
      <c r="T132" s="2">
        <v>1.7314000000000001</v>
      </c>
      <c r="U132" s="2">
        <v>1.7115</v>
      </c>
      <c r="V132" s="2">
        <v>1.6934</v>
      </c>
      <c r="W132" s="2">
        <v>1.6769000000000001</v>
      </c>
      <c r="X132" s="2">
        <v>1.6617</v>
      </c>
    </row>
    <row r="133" spans="4:24" x14ac:dyDescent="0.2">
      <c r="D133" s="1">
        <v>117</v>
      </c>
      <c r="E133" s="2">
        <v>3.9222000000000001</v>
      </c>
      <c r="F133" s="2">
        <v>3.0737999999999999</v>
      </c>
      <c r="G133" s="2">
        <v>2.6821000000000002</v>
      </c>
      <c r="H133" s="2">
        <v>2.4491999999999998</v>
      </c>
      <c r="I133" s="2">
        <v>2.2917999999999998</v>
      </c>
      <c r="J133" s="2">
        <v>2.177</v>
      </c>
      <c r="K133" s="2">
        <v>2.0888</v>
      </c>
      <c r="L133" s="2">
        <v>2.0185</v>
      </c>
      <c r="M133" s="2">
        <v>1.9608000000000001</v>
      </c>
      <c r="N133" s="2">
        <v>1.9125000000000001</v>
      </c>
      <c r="O133" s="2">
        <v>1.8714</v>
      </c>
      <c r="P133" s="2">
        <v>1.8358000000000001</v>
      </c>
      <c r="Q133" s="2">
        <v>1.8047</v>
      </c>
      <c r="R133" s="2">
        <v>1.7771999999999999</v>
      </c>
      <c r="S133" s="2">
        <v>1.7526999999999999</v>
      </c>
      <c r="T133" s="2">
        <v>1.7306999999999999</v>
      </c>
      <c r="U133" s="2">
        <v>1.7108000000000001</v>
      </c>
      <c r="V133" s="2">
        <v>1.6927000000000001</v>
      </c>
      <c r="W133" s="2">
        <v>1.6760999999999999</v>
      </c>
      <c r="X133" s="2">
        <v>1.6609</v>
      </c>
    </row>
    <row r="134" spans="4:24" x14ac:dyDescent="0.2">
      <c r="D134" s="1">
        <v>118</v>
      </c>
      <c r="E134" s="2">
        <v>3.9215</v>
      </c>
      <c r="F134" s="2">
        <v>3.0731000000000002</v>
      </c>
      <c r="G134" s="2">
        <v>2.6815000000000002</v>
      </c>
      <c r="H134" s="2">
        <v>2.4485000000000001</v>
      </c>
      <c r="I134" s="2">
        <v>2.2911999999999999</v>
      </c>
      <c r="J134" s="2">
        <v>2.1762999999999999</v>
      </c>
      <c r="K134" s="2">
        <v>2.0880999999999998</v>
      </c>
      <c r="L134" s="2">
        <v>2.0177999999999998</v>
      </c>
      <c r="M134" s="2">
        <v>1.9601</v>
      </c>
      <c r="N134" s="2">
        <v>1.9117999999999999</v>
      </c>
      <c r="O134" s="2">
        <v>1.8707</v>
      </c>
      <c r="P134" s="2">
        <v>1.8351</v>
      </c>
      <c r="Q134" s="2">
        <v>1.804</v>
      </c>
      <c r="R134" s="2">
        <v>1.7765</v>
      </c>
      <c r="S134" s="2">
        <v>1.752</v>
      </c>
      <c r="T134" s="2">
        <v>1.7299</v>
      </c>
      <c r="U134" s="2">
        <v>1.71</v>
      </c>
      <c r="V134" s="2">
        <v>1.6919</v>
      </c>
      <c r="W134" s="2">
        <v>1.6754</v>
      </c>
      <c r="X134" s="2">
        <v>1.6601999999999999</v>
      </c>
    </row>
    <row r="135" spans="4:24" x14ac:dyDescent="0.2">
      <c r="D135" s="1">
        <v>119</v>
      </c>
      <c r="E135" s="2">
        <v>3.9207999999999998</v>
      </c>
      <c r="F135" s="2">
        <v>3.0724</v>
      </c>
      <c r="G135" s="2">
        <v>2.6808000000000001</v>
      </c>
      <c r="H135" s="2">
        <v>2.4479000000000002</v>
      </c>
      <c r="I135" s="2">
        <v>2.2905000000000002</v>
      </c>
      <c r="J135" s="2">
        <v>2.1757</v>
      </c>
      <c r="K135" s="2">
        <v>2.0874000000000001</v>
      </c>
      <c r="L135" s="2">
        <v>2.0171000000000001</v>
      </c>
      <c r="M135" s="2">
        <v>1.9594</v>
      </c>
      <c r="N135" s="2">
        <v>1.9111</v>
      </c>
      <c r="O135" s="2">
        <v>1.87</v>
      </c>
      <c r="P135" s="2">
        <v>1.8344</v>
      </c>
      <c r="Q135" s="2">
        <v>1.8031999999999999</v>
      </c>
      <c r="R135" s="2">
        <v>1.7757000000000001</v>
      </c>
      <c r="S135" s="2">
        <v>1.7512000000000001</v>
      </c>
      <c r="T135" s="2">
        <v>1.7292000000000001</v>
      </c>
      <c r="U135" s="2">
        <v>1.7093</v>
      </c>
      <c r="V135" s="2">
        <v>1.6912</v>
      </c>
      <c r="W135" s="2">
        <v>1.6746000000000001</v>
      </c>
      <c r="X135" s="2">
        <v>1.6594</v>
      </c>
    </row>
    <row r="136" spans="4:24" x14ac:dyDescent="0.2">
      <c r="D136" s="1">
        <v>120</v>
      </c>
      <c r="E136" s="2">
        <v>3.9201999999999999</v>
      </c>
      <c r="F136" s="2">
        <v>3.0718000000000001</v>
      </c>
      <c r="G136" s="2">
        <v>2.6802000000000001</v>
      </c>
      <c r="H136" s="2">
        <v>2.4472</v>
      </c>
      <c r="I136" s="2">
        <v>2.2898999999999998</v>
      </c>
      <c r="J136" s="2">
        <v>2.1749999999999998</v>
      </c>
      <c r="K136" s="2">
        <v>2.0868000000000002</v>
      </c>
      <c r="L136" s="2">
        <v>2.0164</v>
      </c>
      <c r="M136" s="2">
        <v>1.9588000000000001</v>
      </c>
      <c r="N136" s="2">
        <v>1.9105000000000001</v>
      </c>
      <c r="O136" s="2">
        <v>1.8693</v>
      </c>
      <c r="P136" s="2">
        <v>1.8337000000000001</v>
      </c>
      <c r="Q136" s="2">
        <v>1.8026</v>
      </c>
      <c r="R136" s="2">
        <v>1.7749999999999999</v>
      </c>
      <c r="S136" s="2">
        <v>1.7504999999999999</v>
      </c>
      <c r="T136" s="2">
        <v>1.7284999999999999</v>
      </c>
      <c r="U136" s="2">
        <v>1.7084999999999999</v>
      </c>
      <c r="V136" s="2">
        <v>1.6903999999999999</v>
      </c>
      <c r="W136" s="2">
        <v>1.6738999999999999</v>
      </c>
      <c r="X136" s="2">
        <v>1.6587000000000001</v>
      </c>
    </row>
    <row r="137" spans="4:24" x14ac:dyDescent="0.2">
      <c r="D137" s="1" t="s">
        <v>15</v>
      </c>
      <c r="E137" s="1">
        <v>1</v>
      </c>
      <c r="F137" s="1">
        <v>2</v>
      </c>
      <c r="G137" s="1">
        <v>3</v>
      </c>
      <c r="H137" s="1">
        <v>4</v>
      </c>
      <c r="I137" s="1">
        <v>5</v>
      </c>
      <c r="J137" s="1">
        <v>6</v>
      </c>
      <c r="K137" s="1">
        <v>7</v>
      </c>
      <c r="L137" s="1">
        <v>8</v>
      </c>
      <c r="M137" s="1">
        <v>9</v>
      </c>
      <c r="N137" s="1">
        <v>10</v>
      </c>
      <c r="O137" s="1">
        <v>11</v>
      </c>
      <c r="P137" s="1">
        <v>12</v>
      </c>
      <c r="Q137" s="1">
        <v>13</v>
      </c>
      <c r="R137" s="1">
        <v>14</v>
      </c>
      <c r="S137" s="1">
        <v>15</v>
      </c>
      <c r="T137" s="1">
        <v>16</v>
      </c>
      <c r="U137" s="1">
        <v>17</v>
      </c>
      <c r="V137" s="1">
        <v>18</v>
      </c>
      <c r="W137" s="1">
        <v>19</v>
      </c>
      <c r="X137" s="1">
        <v>20</v>
      </c>
    </row>
    <row r="138" spans="4:24" x14ac:dyDescent="0.2">
      <c r="D138" s="1" t="s">
        <v>16</v>
      </c>
      <c r="E138" s="1" t="s">
        <v>17</v>
      </c>
      <c r="F138" s="1"/>
      <c r="G138" s="1"/>
      <c r="H138" s="1"/>
      <c r="I138" s="1"/>
      <c r="J138" s="1"/>
      <c r="K138" s="1"/>
      <c r="L138" s="1"/>
      <c r="M138" s="1"/>
      <c r="N138" s="1"/>
      <c r="O138" s="1"/>
      <c r="P138" s="1"/>
      <c r="Q138" s="1"/>
      <c r="R138" s="1"/>
      <c r="S138" s="1"/>
      <c r="T138" s="1"/>
      <c r="U138" s="1"/>
      <c r="V138" s="1"/>
      <c r="W138" s="1"/>
      <c r="X138" s="1"/>
    </row>
    <row r="139" spans="4:24" x14ac:dyDescent="0.2">
      <c r="D139" s="1">
        <v>121</v>
      </c>
      <c r="E139" s="2">
        <v>3.9194</v>
      </c>
      <c r="F139" s="2">
        <v>3.0712000000000002</v>
      </c>
      <c r="G139" s="2">
        <v>2.6795</v>
      </c>
      <c r="H139" s="2">
        <v>2.4466000000000001</v>
      </c>
      <c r="I139" s="2">
        <v>2.2892000000000001</v>
      </c>
      <c r="J139" s="2">
        <v>2.1743999999999999</v>
      </c>
      <c r="K139" s="2">
        <v>2.0861000000000001</v>
      </c>
      <c r="L139" s="2">
        <v>2.0158</v>
      </c>
      <c r="M139" s="2">
        <v>1.9581</v>
      </c>
      <c r="N139" s="2">
        <v>1.9097999999999999</v>
      </c>
      <c r="O139" s="2">
        <v>1.8686</v>
      </c>
      <c r="P139" s="2">
        <v>1.833</v>
      </c>
      <c r="Q139" s="2">
        <v>1.8019000000000001</v>
      </c>
      <c r="R139" s="2">
        <v>1.7743</v>
      </c>
      <c r="S139" s="2">
        <v>1.7498</v>
      </c>
      <c r="T139" s="2">
        <v>1.7278</v>
      </c>
      <c r="U139" s="2">
        <v>1.7078</v>
      </c>
      <c r="V139" s="2">
        <v>1.6897</v>
      </c>
      <c r="W139" s="2">
        <v>1.6732</v>
      </c>
      <c r="X139" s="2">
        <v>1.6578999999999999</v>
      </c>
    </row>
    <row r="140" spans="4:24" x14ac:dyDescent="0.2">
      <c r="D140" s="1">
        <v>122</v>
      </c>
      <c r="E140" s="2">
        <v>3.9188000000000001</v>
      </c>
      <c r="F140" s="2">
        <v>3.0705</v>
      </c>
      <c r="G140" s="2">
        <v>2.6789000000000001</v>
      </c>
      <c r="H140" s="2">
        <v>2.4460000000000002</v>
      </c>
      <c r="I140" s="2">
        <v>2.2886000000000002</v>
      </c>
      <c r="J140" s="2">
        <v>2.1737000000000002</v>
      </c>
      <c r="K140" s="2">
        <v>2.0855000000000001</v>
      </c>
      <c r="L140" s="2">
        <v>2.0150999999999999</v>
      </c>
      <c r="M140" s="2">
        <v>1.9575</v>
      </c>
      <c r="N140" s="2">
        <v>1.9091</v>
      </c>
      <c r="O140" s="2">
        <v>1.8680000000000001</v>
      </c>
      <c r="P140" s="2">
        <v>1.8324</v>
      </c>
      <c r="Q140" s="2">
        <v>1.8011999999999999</v>
      </c>
      <c r="R140" s="2">
        <v>1.7736000000000001</v>
      </c>
      <c r="S140" s="2">
        <v>1.7491000000000001</v>
      </c>
      <c r="T140" s="2">
        <v>1.7270000000000001</v>
      </c>
      <c r="U140" s="2">
        <v>1.7071000000000001</v>
      </c>
      <c r="V140" s="2">
        <v>1.6890000000000001</v>
      </c>
      <c r="W140" s="2">
        <v>1.6724000000000001</v>
      </c>
      <c r="X140" s="2">
        <v>1.6572</v>
      </c>
    </row>
    <row r="141" spans="4:24" x14ac:dyDescent="0.2">
      <c r="D141" s="1">
        <v>123</v>
      </c>
      <c r="E141" s="2">
        <v>3.9180999999999999</v>
      </c>
      <c r="F141" s="2">
        <v>3.0699000000000001</v>
      </c>
      <c r="G141" s="2">
        <v>2.6783000000000001</v>
      </c>
      <c r="H141" s="2">
        <v>2.4453999999999998</v>
      </c>
      <c r="I141" s="2">
        <v>2.2879999999999998</v>
      </c>
      <c r="J141" s="2">
        <v>2.1730999999999998</v>
      </c>
      <c r="K141" s="2">
        <v>2.0849000000000002</v>
      </c>
      <c r="L141" s="2">
        <v>2.0145</v>
      </c>
      <c r="M141" s="2">
        <v>1.9568000000000001</v>
      </c>
      <c r="N141" s="2">
        <v>1.9085000000000001</v>
      </c>
      <c r="O141" s="2">
        <v>1.8673</v>
      </c>
      <c r="P141" s="2">
        <v>1.8317000000000001</v>
      </c>
      <c r="Q141" s="2">
        <v>1.8005</v>
      </c>
      <c r="R141" s="2">
        <v>1.7729999999999999</v>
      </c>
      <c r="S141" s="2">
        <v>1.7484</v>
      </c>
      <c r="T141" s="2">
        <v>1.7263999999999999</v>
      </c>
      <c r="U141" s="2">
        <v>1.7063999999999999</v>
      </c>
      <c r="V141" s="2">
        <v>1.6882999999999999</v>
      </c>
      <c r="W141" s="2">
        <v>1.6717</v>
      </c>
      <c r="X141" s="2">
        <v>1.6565000000000001</v>
      </c>
    </row>
    <row r="142" spans="4:24" x14ac:dyDescent="0.2">
      <c r="D142" s="1">
        <v>124</v>
      </c>
      <c r="E142" s="2">
        <v>3.9176000000000002</v>
      </c>
      <c r="F142" s="2">
        <v>3.0693000000000001</v>
      </c>
      <c r="G142" s="2">
        <v>2.6777000000000002</v>
      </c>
      <c r="H142" s="2">
        <v>2.4447999999999999</v>
      </c>
      <c r="I142" s="2">
        <v>2.2873999999999999</v>
      </c>
      <c r="J142" s="2">
        <v>2.1724999999999999</v>
      </c>
      <c r="K142" s="2">
        <v>2.0842000000000001</v>
      </c>
      <c r="L142" s="2">
        <v>2.0139</v>
      </c>
      <c r="M142" s="2">
        <v>1.9561999999999999</v>
      </c>
      <c r="N142" s="2">
        <v>1.9077999999999999</v>
      </c>
      <c r="O142" s="2">
        <v>1.8667</v>
      </c>
      <c r="P142" s="2">
        <v>1.831</v>
      </c>
      <c r="Q142" s="2">
        <v>1.7999000000000001</v>
      </c>
      <c r="R142" s="2">
        <v>1.7723</v>
      </c>
      <c r="S142" s="2">
        <v>1.7478</v>
      </c>
      <c r="T142" s="2">
        <v>1.7257</v>
      </c>
      <c r="U142" s="2">
        <v>1.7058</v>
      </c>
      <c r="V142" s="2">
        <v>1.6876</v>
      </c>
      <c r="W142" s="2">
        <v>1.6711</v>
      </c>
      <c r="X142" s="2">
        <v>1.6557999999999999</v>
      </c>
    </row>
    <row r="143" spans="4:24" x14ac:dyDescent="0.2">
      <c r="D143" s="1">
        <v>125</v>
      </c>
      <c r="E143" s="2">
        <v>3.9169</v>
      </c>
      <c r="F143" s="2">
        <v>3.0687000000000002</v>
      </c>
      <c r="G143" s="2">
        <v>2.6770999999999998</v>
      </c>
      <c r="H143" s="2">
        <v>2.4441999999999999</v>
      </c>
      <c r="I143" s="2">
        <v>2.2867999999999999</v>
      </c>
      <c r="J143" s="2">
        <v>2.1718999999999999</v>
      </c>
      <c r="K143" s="2">
        <v>2.0836000000000001</v>
      </c>
      <c r="L143" s="2">
        <v>2.0133000000000001</v>
      </c>
      <c r="M143" s="2">
        <v>1.9556</v>
      </c>
      <c r="N143" s="2">
        <v>1.9072</v>
      </c>
      <c r="O143" s="2">
        <v>1.8660000000000001</v>
      </c>
      <c r="P143" s="2">
        <v>1.8304</v>
      </c>
      <c r="Q143" s="2">
        <v>1.7991999999999999</v>
      </c>
      <c r="R143" s="2">
        <v>1.7717000000000001</v>
      </c>
      <c r="S143" s="2">
        <v>1.7471000000000001</v>
      </c>
      <c r="T143" s="2">
        <v>1.7250000000000001</v>
      </c>
      <c r="U143" s="2">
        <v>1.7051000000000001</v>
      </c>
      <c r="V143" s="2">
        <v>1.6869000000000001</v>
      </c>
      <c r="W143" s="2">
        <v>1.6704000000000001</v>
      </c>
      <c r="X143" s="2">
        <v>1.6551</v>
      </c>
    </row>
    <row r="144" spans="4:24" x14ac:dyDescent="0.2">
      <c r="D144" s="1">
        <v>126</v>
      </c>
      <c r="E144" s="2">
        <v>3.9163000000000001</v>
      </c>
      <c r="F144" s="2">
        <v>3.0680999999999998</v>
      </c>
      <c r="G144" s="2">
        <v>2.6764999999999999</v>
      </c>
      <c r="H144" s="2">
        <v>2.4436</v>
      </c>
      <c r="I144" s="2">
        <v>2.2862</v>
      </c>
      <c r="J144" s="2">
        <v>2.1713</v>
      </c>
      <c r="K144" s="2">
        <v>2.0830000000000002</v>
      </c>
      <c r="L144" s="2">
        <v>2.0125999999999999</v>
      </c>
      <c r="M144" s="2">
        <v>1.9550000000000001</v>
      </c>
      <c r="N144" s="2">
        <v>1.9066000000000001</v>
      </c>
      <c r="O144" s="2">
        <v>1.8653999999999999</v>
      </c>
      <c r="P144" s="2">
        <v>1.8298000000000001</v>
      </c>
      <c r="Q144" s="2">
        <v>1.7986</v>
      </c>
      <c r="R144" s="2">
        <v>1.7709999999999999</v>
      </c>
      <c r="S144" s="2">
        <v>1.7464</v>
      </c>
      <c r="T144" s="2">
        <v>1.7243999999999999</v>
      </c>
      <c r="U144" s="2">
        <v>1.7043999999999999</v>
      </c>
      <c r="V144" s="2">
        <v>1.6862999999999999</v>
      </c>
      <c r="W144" s="2">
        <v>1.6697</v>
      </c>
      <c r="X144" s="2">
        <v>1.6544000000000001</v>
      </c>
    </row>
    <row r="145" spans="4:24" x14ac:dyDescent="0.2">
      <c r="D145" s="1">
        <v>127</v>
      </c>
      <c r="E145" s="2">
        <v>3.9157000000000002</v>
      </c>
      <c r="F145" s="2">
        <v>3.0674999999999999</v>
      </c>
      <c r="G145" s="2">
        <v>2.6758999999999999</v>
      </c>
      <c r="H145" s="2">
        <v>2.4430000000000001</v>
      </c>
      <c r="I145" s="2">
        <v>2.2856000000000001</v>
      </c>
      <c r="J145" s="2">
        <v>2.1707000000000001</v>
      </c>
      <c r="K145" s="2">
        <v>2.0823999999999998</v>
      </c>
      <c r="L145" s="2">
        <v>2.0121000000000002</v>
      </c>
      <c r="M145" s="2">
        <v>1.9543999999999999</v>
      </c>
      <c r="N145" s="2">
        <v>1.9059999999999999</v>
      </c>
      <c r="O145" s="2">
        <v>1.8648</v>
      </c>
      <c r="P145" s="2">
        <v>1.8290999999999999</v>
      </c>
      <c r="Q145" s="2">
        <v>1.7979000000000001</v>
      </c>
      <c r="R145" s="2">
        <v>1.7704</v>
      </c>
      <c r="S145" s="2">
        <v>1.7458</v>
      </c>
      <c r="T145" s="2">
        <v>1.7237</v>
      </c>
      <c r="U145" s="2">
        <v>1.7038</v>
      </c>
      <c r="V145" s="2">
        <v>1.6856</v>
      </c>
      <c r="W145" s="2">
        <v>1.669</v>
      </c>
      <c r="X145" s="2">
        <v>1.6537999999999999</v>
      </c>
    </row>
    <row r="146" spans="4:24" x14ac:dyDescent="0.2">
      <c r="D146" s="1">
        <v>128</v>
      </c>
      <c r="E146" s="2">
        <v>3.9150999999999998</v>
      </c>
      <c r="F146" s="2">
        <v>3.0669</v>
      </c>
      <c r="G146" s="2">
        <v>2.6753999999999998</v>
      </c>
      <c r="H146" s="2">
        <v>2.4424000000000001</v>
      </c>
      <c r="I146" s="2">
        <v>2.2850000000000001</v>
      </c>
      <c r="J146" s="2">
        <v>2.1701000000000001</v>
      </c>
      <c r="K146" s="2">
        <v>2.0819000000000001</v>
      </c>
      <c r="L146" s="2">
        <v>2.0114999999999998</v>
      </c>
      <c r="M146" s="2">
        <v>1.9538</v>
      </c>
      <c r="N146" s="2">
        <v>1.9054</v>
      </c>
      <c r="O146" s="2">
        <v>1.8642000000000001</v>
      </c>
      <c r="P146" s="2">
        <v>1.8285</v>
      </c>
      <c r="Q146" s="2">
        <v>1.7974000000000001</v>
      </c>
      <c r="R146" s="2">
        <v>1.7698</v>
      </c>
      <c r="S146" s="2">
        <v>1.7452000000000001</v>
      </c>
      <c r="T146" s="2">
        <v>1.7231000000000001</v>
      </c>
      <c r="U146" s="2">
        <v>1.7031000000000001</v>
      </c>
      <c r="V146" s="2">
        <v>1.6850000000000001</v>
      </c>
      <c r="W146" s="2">
        <v>1.6684000000000001</v>
      </c>
      <c r="X146" s="2">
        <v>1.6531</v>
      </c>
    </row>
    <row r="147" spans="4:24" x14ac:dyDescent="0.2">
      <c r="D147" s="1">
        <v>129</v>
      </c>
      <c r="E147" s="2">
        <v>3.9144999999999999</v>
      </c>
      <c r="F147" s="2">
        <v>3.0663999999999998</v>
      </c>
      <c r="G147" s="2">
        <v>2.6749000000000001</v>
      </c>
      <c r="H147" s="2">
        <v>2.4419</v>
      </c>
      <c r="I147" s="2">
        <v>2.2845</v>
      </c>
      <c r="J147" s="2">
        <v>2.1696</v>
      </c>
      <c r="K147" s="2">
        <v>2.0813000000000001</v>
      </c>
      <c r="L147" s="2">
        <v>2.0108999999999999</v>
      </c>
      <c r="M147" s="2">
        <v>1.9532</v>
      </c>
      <c r="N147" s="2">
        <v>1.9048</v>
      </c>
      <c r="O147" s="2">
        <v>1.8635999999999999</v>
      </c>
      <c r="P147" s="2">
        <v>1.8280000000000001</v>
      </c>
      <c r="Q147" s="2">
        <v>1.7967</v>
      </c>
      <c r="R147" s="2">
        <v>1.7692000000000001</v>
      </c>
      <c r="S147" s="2">
        <v>1.7445999999999999</v>
      </c>
      <c r="T147" s="2">
        <v>1.7224999999999999</v>
      </c>
      <c r="U147" s="2">
        <v>1.7024999999999999</v>
      </c>
      <c r="V147" s="2">
        <v>1.6842999999999999</v>
      </c>
      <c r="W147" s="2">
        <v>1.6677</v>
      </c>
      <c r="X147" s="2">
        <v>1.6525000000000001</v>
      </c>
    </row>
    <row r="148" spans="4:24" x14ac:dyDescent="0.2">
      <c r="D148" s="1">
        <v>130</v>
      </c>
      <c r="E148" s="2">
        <v>3.9140000000000001</v>
      </c>
      <c r="F148" s="2">
        <v>3.0659000000000001</v>
      </c>
      <c r="G148" s="2">
        <v>2.6743000000000001</v>
      </c>
      <c r="H148" s="2">
        <v>2.4413999999999998</v>
      </c>
      <c r="I148" s="2">
        <v>2.2839</v>
      </c>
      <c r="J148" s="2">
        <v>2.169</v>
      </c>
      <c r="K148" s="2">
        <v>2.0807000000000002</v>
      </c>
      <c r="L148" s="2">
        <v>2.0103</v>
      </c>
      <c r="M148" s="2">
        <v>1.9525999999999999</v>
      </c>
      <c r="N148" s="2">
        <v>1.9041999999999999</v>
      </c>
      <c r="O148" s="2">
        <v>1.863</v>
      </c>
      <c r="P148" s="2">
        <v>1.8272999999999999</v>
      </c>
      <c r="Q148" s="2">
        <v>1.7962</v>
      </c>
      <c r="R148" s="2">
        <v>1.7685</v>
      </c>
      <c r="S148" s="2">
        <v>1.744</v>
      </c>
      <c r="T148" s="2">
        <v>1.7219</v>
      </c>
      <c r="U148" s="2">
        <v>1.7019</v>
      </c>
      <c r="V148" s="2">
        <v>1.6837</v>
      </c>
      <c r="W148" s="2">
        <v>1.6671</v>
      </c>
      <c r="X148" s="2">
        <v>1.6518999999999999</v>
      </c>
    </row>
    <row r="149" spans="4:24" x14ac:dyDescent="0.2">
      <c r="D149" s="1">
        <v>131</v>
      </c>
      <c r="E149" s="2">
        <v>3.9134000000000002</v>
      </c>
      <c r="F149" s="2">
        <v>3.0653000000000001</v>
      </c>
      <c r="G149" s="2">
        <v>2.6737000000000002</v>
      </c>
      <c r="H149" s="2">
        <v>2.4407999999999999</v>
      </c>
      <c r="I149" s="2">
        <v>2.2833999999999999</v>
      </c>
      <c r="J149" s="2">
        <v>2.1684999999999999</v>
      </c>
      <c r="K149" s="2">
        <v>2.0802</v>
      </c>
      <c r="L149" s="2">
        <v>2.0097999999999998</v>
      </c>
      <c r="M149" s="2">
        <v>1.9520999999999999</v>
      </c>
      <c r="N149" s="2">
        <v>1.9036999999999999</v>
      </c>
      <c r="O149" s="2">
        <v>1.8624000000000001</v>
      </c>
      <c r="P149" s="2">
        <v>1.8268</v>
      </c>
      <c r="Q149" s="2">
        <v>1.7956000000000001</v>
      </c>
      <c r="R149" s="2">
        <v>1.768</v>
      </c>
      <c r="S149" s="2">
        <v>1.7434000000000001</v>
      </c>
      <c r="T149" s="2">
        <v>1.7213000000000001</v>
      </c>
      <c r="U149" s="2">
        <v>1.7013</v>
      </c>
      <c r="V149" s="2">
        <v>1.6831</v>
      </c>
      <c r="W149" s="2">
        <v>1.6665000000000001</v>
      </c>
      <c r="X149" s="2">
        <v>1.6513</v>
      </c>
    </row>
    <row r="150" spans="4:24" x14ac:dyDescent="0.2">
      <c r="D150" s="1">
        <v>132</v>
      </c>
      <c r="E150" s="2">
        <v>3.9129</v>
      </c>
      <c r="F150" s="2">
        <v>3.0648</v>
      </c>
      <c r="G150" s="2">
        <v>2.6732</v>
      </c>
      <c r="H150" s="2">
        <v>2.4403000000000001</v>
      </c>
      <c r="I150" s="2">
        <v>2.2829000000000002</v>
      </c>
      <c r="J150" s="2">
        <v>2.1680000000000001</v>
      </c>
      <c r="K150" s="2">
        <v>2.0796000000000001</v>
      </c>
      <c r="L150" s="2">
        <v>2.0091999999999999</v>
      </c>
      <c r="M150" s="2">
        <v>1.9515</v>
      </c>
      <c r="N150" s="2">
        <v>1.9031</v>
      </c>
      <c r="O150" s="2">
        <v>1.8619000000000001</v>
      </c>
      <c r="P150" s="2">
        <v>1.8262</v>
      </c>
      <c r="Q150" s="2">
        <v>1.7949999999999999</v>
      </c>
      <c r="R150" s="2">
        <v>1.7674000000000001</v>
      </c>
      <c r="S150" s="2">
        <v>1.7427999999999999</v>
      </c>
      <c r="T150" s="2">
        <v>1.7206999999999999</v>
      </c>
      <c r="U150" s="2">
        <v>1.7007000000000001</v>
      </c>
      <c r="V150" s="2">
        <v>1.6825000000000001</v>
      </c>
      <c r="W150" s="2">
        <v>1.6658999999999999</v>
      </c>
      <c r="X150" s="2">
        <v>1.6506000000000001</v>
      </c>
    </row>
    <row r="151" spans="4:24" x14ac:dyDescent="0.2">
      <c r="D151" s="1">
        <v>133</v>
      </c>
      <c r="E151" s="2">
        <v>3.9123000000000001</v>
      </c>
      <c r="F151" s="2">
        <v>3.0642</v>
      </c>
      <c r="G151" s="2">
        <v>2.6726999999999999</v>
      </c>
      <c r="H151" s="2">
        <v>2.4398</v>
      </c>
      <c r="I151" s="2">
        <v>2.2823000000000002</v>
      </c>
      <c r="J151" s="2">
        <v>2.1674000000000002</v>
      </c>
      <c r="K151" s="2">
        <v>2.0790999999999999</v>
      </c>
      <c r="L151" s="2">
        <v>2.0087000000000002</v>
      </c>
      <c r="M151" s="2">
        <v>1.9510000000000001</v>
      </c>
      <c r="N151" s="2">
        <v>1.9026000000000001</v>
      </c>
      <c r="O151" s="2">
        <v>1.8613</v>
      </c>
      <c r="P151" s="2">
        <v>1.8255999999999999</v>
      </c>
      <c r="Q151" s="2">
        <v>1.7944</v>
      </c>
      <c r="R151" s="2">
        <v>1.7667999999999999</v>
      </c>
      <c r="S151" s="2">
        <v>1.7422</v>
      </c>
      <c r="T151" s="2">
        <v>1.7201</v>
      </c>
      <c r="U151" s="2">
        <v>1.7000999999999999</v>
      </c>
      <c r="V151" s="2">
        <v>1.6819</v>
      </c>
      <c r="W151" s="2">
        <v>1.6653</v>
      </c>
      <c r="X151" s="2">
        <v>1.65</v>
      </c>
    </row>
    <row r="152" spans="4:24" x14ac:dyDescent="0.2">
      <c r="D152" s="1">
        <v>134</v>
      </c>
      <c r="E152" s="2">
        <v>3.9117999999999999</v>
      </c>
      <c r="F152" s="2">
        <v>3.0636999999999999</v>
      </c>
      <c r="G152" s="2">
        <v>2.6722000000000001</v>
      </c>
      <c r="H152" s="2">
        <v>2.4392</v>
      </c>
      <c r="I152" s="2">
        <v>2.2818000000000001</v>
      </c>
      <c r="J152" s="2">
        <v>2.1669</v>
      </c>
      <c r="K152" s="2">
        <v>2.0785999999999998</v>
      </c>
      <c r="L152" s="2">
        <v>2.0082</v>
      </c>
      <c r="M152" s="2">
        <v>1.9503999999999999</v>
      </c>
      <c r="N152" s="2">
        <v>1.9019999999999999</v>
      </c>
      <c r="O152" s="2">
        <v>1.8608</v>
      </c>
      <c r="P152" s="2">
        <v>1.8250999999999999</v>
      </c>
      <c r="Q152" s="2">
        <v>1.7939000000000001</v>
      </c>
      <c r="R152" s="2">
        <v>1.7662</v>
      </c>
      <c r="S152" s="2">
        <v>1.7416</v>
      </c>
      <c r="T152" s="2">
        <v>1.7195</v>
      </c>
      <c r="U152" s="2">
        <v>1.6995</v>
      </c>
      <c r="V152" s="2">
        <v>1.6813</v>
      </c>
      <c r="W152" s="2">
        <v>1.6647000000000001</v>
      </c>
      <c r="X152" s="2">
        <v>1.6494</v>
      </c>
    </row>
    <row r="153" spans="4:24" x14ac:dyDescent="0.2">
      <c r="D153" s="1">
        <v>135</v>
      </c>
      <c r="E153" s="2">
        <v>3.9112</v>
      </c>
      <c r="F153" s="2">
        <v>3.0632000000000001</v>
      </c>
      <c r="G153" s="2">
        <v>2.6717</v>
      </c>
      <c r="H153" s="2">
        <v>2.4386999999999999</v>
      </c>
      <c r="I153" s="2">
        <v>2.2812999999999999</v>
      </c>
      <c r="J153" s="2">
        <v>2.1663999999999999</v>
      </c>
      <c r="K153" s="2">
        <v>2.0781000000000001</v>
      </c>
      <c r="L153" s="2">
        <v>2.0076000000000001</v>
      </c>
      <c r="M153" s="2">
        <v>1.9499</v>
      </c>
      <c r="N153" s="2">
        <v>1.9015</v>
      </c>
      <c r="O153" s="2">
        <v>1.8602000000000001</v>
      </c>
      <c r="P153" s="2">
        <v>1.8245</v>
      </c>
      <c r="Q153" s="2">
        <v>1.7932999999999999</v>
      </c>
      <c r="R153" s="2">
        <v>1.7657</v>
      </c>
      <c r="S153" s="2">
        <v>1.7411000000000001</v>
      </c>
      <c r="T153" s="2">
        <v>1.7190000000000001</v>
      </c>
      <c r="U153" s="2">
        <v>1.6989000000000001</v>
      </c>
      <c r="V153" s="2">
        <v>1.6808000000000001</v>
      </c>
      <c r="W153" s="2">
        <v>1.6640999999999999</v>
      </c>
      <c r="X153" s="2">
        <v>1.6488</v>
      </c>
    </row>
    <row r="154" spans="4:24" x14ac:dyDescent="0.2">
      <c r="D154" s="1">
        <v>136</v>
      </c>
      <c r="E154" s="2">
        <v>3.9108000000000001</v>
      </c>
      <c r="F154" s="2">
        <v>3.0627</v>
      </c>
      <c r="G154" s="2">
        <v>2.6711999999999998</v>
      </c>
      <c r="H154" s="2">
        <v>2.4382000000000001</v>
      </c>
      <c r="I154" s="2">
        <v>2.2808000000000002</v>
      </c>
      <c r="J154" s="2">
        <v>2.1659000000000002</v>
      </c>
      <c r="K154" s="2">
        <v>2.0775000000000001</v>
      </c>
      <c r="L154" s="2">
        <v>2.0070999999999999</v>
      </c>
      <c r="M154" s="2">
        <v>1.9494</v>
      </c>
      <c r="N154" s="2">
        <v>1.901</v>
      </c>
      <c r="O154" s="2">
        <v>1.8596999999999999</v>
      </c>
      <c r="P154" s="2">
        <v>1.8240000000000001</v>
      </c>
      <c r="Q154" s="2">
        <v>1.7927999999999999</v>
      </c>
      <c r="R154" s="2">
        <v>1.7650999999999999</v>
      </c>
      <c r="S154" s="2">
        <v>1.7404999999999999</v>
      </c>
      <c r="T154" s="2">
        <v>1.7183999999999999</v>
      </c>
      <c r="U154" s="2">
        <v>1.6983999999999999</v>
      </c>
      <c r="V154" s="2">
        <v>1.6801999999999999</v>
      </c>
      <c r="W154" s="2">
        <v>1.6635</v>
      </c>
      <c r="X154" s="2">
        <v>1.6483000000000001</v>
      </c>
    </row>
    <row r="155" spans="4:24" x14ac:dyDescent="0.2">
      <c r="D155" s="1">
        <v>137</v>
      </c>
      <c r="E155" s="2">
        <v>3.9102000000000001</v>
      </c>
      <c r="F155" s="2">
        <v>3.0621999999999998</v>
      </c>
      <c r="G155" s="2">
        <v>2.6707000000000001</v>
      </c>
      <c r="H155" s="2">
        <v>2.4378000000000002</v>
      </c>
      <c r="I155" s="2">
        <v>2.2803</v>
      </c>
      <c r="J155" s="2">
        <v>2.1654</v>
      </c>
      <c r="K155" s="2">
        <v>2.077</v>
      </c>
      <c r="L155" s="2">
        <v>2.0066000000000002</v>
      </c>
      <c r="M155" s="2">
        <v>1.9488000000000001</v>
      </c>
      <c r="N155" s="2">
        <v>1.9004000000000001</v>
      </c>
      <c r="O155" s="2">
        <v>1.8592</v>
      </c>
      <c r="P155" s="2">
        <v>1.8234999999999999</v>
      </c>
      <c r="Q155" s="2">
        <v>1.7922</v>
      </c>
      <c r="R155" s="2">
        <v>1.7645999999999999</v>
      </c>
      <c r="S155" s="2">
        <v>1.74</v>
      </c>
      <c r="T155" s="2">
        <v>1.7178</v>
      </c>
      <c r="U155" s="2">
        <v>1.6978</v>
      </c>
      <c r="V155" s="2">
        <v>1.6796</v>
      </c>
      <c r="W155" s="2">
        <v>1.663</v>
      </c>
      <c r="X155" s="2">
        <v>1.6476999999999999</v>
      </c>
    </row>
    <row r="156" spans="4:24" x14ac:dyDescent="0.2">
      <c r="D156" s="1">
        <v>138</v>
      </c>
      <c r="E156" s="2">
        <v>3.9098000000000002</v>
      </c>
      <c r="F156" s="2">
        <v>3.0617000000000001</v>
      </c>
      <c r="G156" s="2">
        <v>2.6701999999999999</v>
      </c>
      <c r="H156" s="2">
        <v>2.4373</v>
      </c>
      <c r="I156" s="2">
        <v>2.2797999999999998</v>
      </c>
      <c r="J156" s="2">
        <v>2.1648999999999998</v>
      </c>
      <c r="K156" s="2">
        <v>2.0766</v>
      </c>
      <c r="L156" s="2">
        <v>2.0061</v>
      </c>
      <c r="M156" s="2">
        <v>1.9482999999999999</v>
      </c>
      <c r="N156" s="2">
        <v>1.8998999999999999</v>
      </c>
      <c r="O156" s="2">
        <v>1.8586</v>
      </c>
      <c r="P156" s="2">
        <v>1.823</v>
      </c>
      <c r="Q156" s="2">
        <v>1.7917000000000001</v>
      </c>
      <c r="R156" s="2">
        <v>1.7641</v>
      </c>
      <c r="S156" s="2">
        <v>1.7394000000000001</v>
      </c>
      <c r="T156" s="2">
        <v>1.7173</v>
      </c>
      <c r="U156" s="2">
        <v>1.6973</v>
      </c>
      <c r="V156" s="2">
        <v>1.6791</v>
      </c>
      <c r="W156" s="2">
        <v>1.6624000000000001</v>
      </c>
      <c r="X156" s="2">
        <v>1.6471</v>
      </c>
    </row>
    <row r="157" spans="4:24" x14ac:dyDescent="0.2">
      <c r="D157" s="1">
        <v>139</v>
      </c>
      <c r="E157" s="2">
        <v>3.9091999999999998</v>
      </c>
      <c r="F157" s="2">
        <v>3.0613000000000001</v>
      </c>
      <c r="G157" s="2">
        <v>2.6697000000000002</v>
      </c>
      <c r="H157" s="2">
        <v>2.4367999999999999</v>
      </c>
      <c r="I157" s="2">
        <v>2.2793999999999999</v>
      </c>
      <c r="J157" s="2">
        <v>2.1644000000000001</v>
      </c>
      <c r="K157" s="2">
        <v>2.0760999999999998</v>
      </c>
      <c r="L157" s="2">
        <v>2.0055999999999998</v>
      </c>
      <c r="M157" s="2">
        <v>1.9478</v>
      </c>
      <c r="N157" s="2">
        <v>1.8994</v>
      </c>
      <c r="O157" s="2">
        <v>1.8581000000000001</v>
      </c>
      <c r="P157" s="2">
        <v>1.8224</v>
      </c>
      <c r="Q157" s="2">
        <v>1.7911999999999999</v>
      </c>
      <c r="R157" s="2">
        <v>1.7635000000000001</v>
      </c>
      <c r="S157" s="2">
        <v>1.7388999999999999</v>
      </c>
      <c r="T157" s="2">
        <v>1.7168000000000001</v>
      </c>
      <c r="U157" s="2">
        <v>1.6967000000000001</v>
      </c>
      <c r="V157" s="2">
        <v>1.6785000000000001</v>
      </c>
      <c r="W157" s="2">
        <v>1.6618999999999999</v>
      </c>
      <c r="X157" s="2">
        <v>1.6466000000000001</v>
      </c>
    </row>
    <row r="158" spans="4:24" x14ac:dyDescent="0.2">
      <c r="D158" s="1">
        <v>140</v>
      </c>
      <c r="E158" s="2">
        <v>3.9087000000000001</v>
      </c>
      <c r="F158" s="2">
        <v>3.0608</v>
      </c>
      <c r="G158" s="2">
        <v>2.6692</v>
      </c>
      <c r="H158" s="2">
        <v>2.4363000000000001</v>
      </c>
      <c r="I158" s="2">
        <v>2.2789000000000001</v>
      </c>
      <c r="J158" s="2">
        <v>2.1638999999999999</v>
      </c>
      <c r="K158" s="2">
        <v>2.0756000000000001</v>
      </c>
      <c r="L158" s="2">
        <v>2.0051000000000001</v>
      </c>
      <c r="M158" s="2">
        <v>1.9473</v>
      </c>
      <c r="N158" s="2">
        <v>1.8989</v>
      </c>
      <c r="O158" s="2">
        <v>1.8575999999999999</v>
      </c>
      <c r="P158" s="2">
        <v>1.8219000000000001</v>
      </c>
      <c r="Q158" s="2">
        <v>1.7907</v>
      </c>
      <c r="R158" s="2">
        <v>1.7629999999999999</v>
      </c>
      <c r="S158" s="2">
        <v>1.7383999999999999</v>
      </c>
      <c r="T158" s="2">
        <v>1.7161999999999999</v>
      </c>
      <c r="U158" s="2">
        <v>1.6961999999999999</v>
      </c>
      <c r="V158" s="2">
        <v>1.6779999999999999</v>
      </c>
      <c r="W158" s="2">
        <v>1.6613</v>
      </c>
      <c r="X158" s="2">
        <v>1.6459999999999999</v>
      </c>
    </row>
    <row r="159" spans="4:24" x14ac:dyDescent="0.2">
      <c r="D159" s="1" t="s">
        <v>15</v>
      </c>
      <c r="E159" s="1">
        <v>1</v>
      </c>
      <c r="F159" s="1">
        <v>2</v>
      </c>
      <c r="G159" s="1">
        <v>3</v>
      </c>
      <c r="H159" s="1">
        <v>4</v>
      </c>
      <c r="I159" s="1">
        <v>5</v>
      </c>
      <c r="J159" s="1">
        <v>6</v>
      </c>
      <c r="K159" s="1">
        <v>7</v>
      </c>
      <c r="L159" s="1">
        <v>8</v>
      </c>
      <c r="M159" s="1">
        <v>9</v>
      </c>
      <c r="N159" s="1">
        <v>10</v>
      </c>
      <c r="O159" s="1">
        <v>11</v>
      </c>
      <c r="P159" s="1">
        <v>12</v>
      </c>
      <c r="Q159" s="1">
        <v>13</v>
      </c>
      <c r="R159" s="1">
        <v>14</v>
      </c>
      <c r="S159" s="1">
        <v>15</v>
      </c>
      <c r="T159" s="1">
        <v>16</v>
      </c>
      <c r="U159" s="1">
        <v>17</v>
      </c>
      <c r="V159" s="1">
        <v>18</v>
      </c>
      <c r="W159" s="1">
        <v>19</v>
      </c>
      <c r="X159" s="1">
        <v>20</v>
      </c>
    </row>
    <row r="160" spans="4:24" x14ac:dyDescent="0.2">
      <c r="D160" s="1" t="s">
        <v>16</v>
      </c>
      <c r="E160" s="1" t="s">
        <v>17</v>
      </c>
      <c r="F160" s="1"/>
      <c r="G160" s="1"/>
      <c r="H160" s="1"/>
      <c r="I160" s="1"/>
      <c r="J160" s="1"/>
      <c r="K160" s="1"/>
      <c r="L160" s="1"/>
      <c r="M160" s="1"/>
      <c r="N160" s="1"/>
      <c r="O160" s="1"/>
      <c r="P160" s="1"/>
      <c r="Q160" s="1"/>
      <c r="R160" s="1"/>
      <c r="S160" s="1"/>
      <c r="T160" s="1"/>
      <c r="U160" s="1"/>
      <c r="V160" s="1"/>
      <c r="W160" s="1"/>
      <c r="X160" s="1"/>
    </row>
    <row r="161" spans="4:24" x14ac:dyDescent="0.2">
      <c r="D161" s="1">
        <v>141</v>
      </c>
      <c r="E161" s="2">
        <v>3.9083000000000001</v>
      </c>
      <c r="F161" s="2">
        <v>3.0602999999999998</v>
      </c>
      <c r="G161" s="2">
        <v>2.6688000000000001</v>
      </c>
      <c r="H161" s="2">
        <v>2.4359000000000002</v>
      </c>
      <c r="I161" s="2">
        <v>2.2784</v>
      </c>
      <c r="J161" s="2">
        <v>2.1634000000000002</v>
      </c>
      <c r="K161" s="2">
        <v>2.0750999999999999</v>
      </c>
      <c r="L161" s="2">
        <v>2.0045999999999999</v>
      </c>
      <c r="M161" s="2">
        <v>1.9469000000000001</v>
      </c>
      <c r="N161" s="2">
        <v>1.8984000000000001</v>
      </c>
      <c r="O161" s="2">
        <v>1.8571</v>
      </c>
      <c r="P161" s="2">
        <v>1.8213999999999999</v>
      </c>
      <c r="Q161" s="2">
        <v>1.7901</v>
      </c>
      <c r="R161" s="2">
        <v>1.7625</v>
      </c>
      <c r="S161" s="2">
        <v>1.7379</v>
      </c>
      <c r="T161" s="2">
        <v>1.7157</v>
      </c>
      <c r="U161" s="2">
        <v>1.6957</v>
      </c>
      <c r="V161" s="2">
        <v>1.6775</v>
      </c>
      <c r="W161" s="2">
        <v>1.6608000000000001</v>
      </c>
      <c r="X161" s="2">
        <v>1.6455</v>
      </c>
    </row>
    <row r="162" spans="4:24" x14ac:dyDescent="0.2">
      <c r="D162" s="1">
        <v>142</v>
      </c>
      <c r="E162" s="2">
        <v>3.9077999999999999</v>
      </c>
      <c r="F162" s="2">
        <v>3.0598000000000001</v>
      </c>
      <c r="G162" s="2">
        <v>2.6682999999999999</v>
      </c>
      <c r="H162" s="2">
        <v>2.4354</v>
      </c>
      <c r="I162" s="2">
        <v>2.2778999999999998</v>
      </c>
      <c r="J162" s="2">
        <v>2.1629999999999998</v>
      </c>
      <c r="K162" s="2">
        <v>2.0747</v>
      </c>
      <c r="L162" s="2">
        <v>2.0042</v>
      </c>
      <c r="M162" s="2">
        <v>1.9463999999999999</v>
      </c>
      <c r="N162" s="2">
        <v>1.8978999999999999</v>
      </c>
      <c r="O162" s="2">
        <v>1.8566</v>
      </c>
      <c r="P162" s="2">
        <v>1.8209</v>
      </c>
      <c r="Q162" s="2">
        <v>1.7897000000000001</v>
      </c>
      <c r="R162" s="2">
        <v>1.762</v>
      </c>
      <c r="S162" s="2">
        <v>1.7374000000000001</v>
      </c>
      <c r="T162" s="2">
        <v>1.7152000000000001</v>
      </c>
      <c r="U162" s="2">
        <v>1.6952</v>
      </c>
      <c r="V162" s="2">
        <v>1.6769000000000001</v>
      </c>
      <c r="W162" s="2">
        <v>1.6603000000000001</v>
      </c>
      <c r="X162" s="2">
        <v>1.645</v>
      </c>
    </row>
    <row r="163" spans="4:24" x14ac:dyDescent="0.2">
      <c r="D163" s="1">
        <v>143</v>
      </c>
      <c r="E163" s="2">
        <v>3.9073000000000002</v>
      </c>
      <c r="F163" s="2">
        <v>3.0594000000000001</v>
      </c>
      <c r="G163" s="2">
        <v>2.6678999999999999</v>
      </c>
      <c r="H163" s="2">
        <v>2.4350000000000001</v>
      </c>
      <c r="I163" s="2">
        <v>2.2774999999999999</v>
      </c>
      <c r="J163" s="2">
        <v>2.1625000000000001</v>
      </c>
      <c r="K163" s="2">
        <v>2.0741999999999998</v>
      </c>
      <c r="L163" s="2">
        <v>2.0036999999999998</v>
      </c>
      <c r="M163" s="2">
        <v>1.9459</v>
      </c>
      <c r="N163" s="2">
        <v>1.8975</v>
      </c>
      <c r="O163" s="2">
        <v>1.8562000000000001</v>
      </c>
      <c r="P163" s="2">
        <v>1.8204</v>
      </c>
      <c r="Q163" s="2">
        <v>1.7891999999999999</v>
      </c>
      <c r="R163" s="2">
        <v>1.7615000000000001</v>
      </c>
      <c r="S163" s="2">
        <v>1.7367999999999999</v>
      </c>
      <c r="T163" s="2">
        <v>1.7146999999999999</v>
      </c>
      <c r="U163" s="2">
        <v>1.6946000000000001</v>
      </c>
      <c r="V163" s="2">
        <v>1.6763999999999999</v>
      </c>
      <c r="W163" s="2">
        <v>1.6597999999999999</v>
      </c>
      <c r="X163" s="2">
        <v>1.6444000000000001</v>
      </c>
    </row>
    <row r="164" spans="4:24" x14ac:dyDescent="0.2">
      <c r="D164" s="1">
        <v>144</v>
      </c>
      <c r="E164" s="2">
        <v>3.9068000000000001</v>
      </c>
      <c r="F164" s="2">
        <v>3.0589</v>
      </c>
      <c r="G164" s="2">
        <v>2.6675</v>
      </c>
      <c r="H164" s="2">
        <v>2.4344999999999999</v>
      </c>
      <c r="I164" s="2">
        <v>2.2770000000000001</v>
      </c>
      <c r="J164" s="2">
        <v>2.1621000000000001</v>
      </c>
      <c r="K164" s="2">
        <v>2.0737000000000001</v>
      </c>
      <c r="L164" s="2">
        <v>2.0032999999999999</v>
      </c>
      <c r="M164" s="2">
        <v>1.9455</v>
      </c>
      <c r="N164" s="2">
        <v>1.897</v>
      </c>
      <c r="O164" s="2">
        <v>1.8556999999999999</v>
      </c>
      <c r="P164" s="2">
        <v>1.82</v>
      </c>
      <c r="Q164" s="2">
        <v>1.7887</v>
      </c>
      <c r="R164" s="2">
        <v>1.7609999999999999</v>
      </c>
      <c r="S164" s="2">
        <v>1.7363999999999999</v>
      </c>
      <c r="T164" s="2">
        <v>1.7141999999999999</v>
      </c>
      <c r="U164" s="2">
        <v>1.6940999999999999</v>
      </c>
      <c r="V164" s="2">
        <v>1.6758999999999999</v>
      </c>
      <c r="W164" s="2">
        <v>1.6592</v>
      </c>
      <c r="X164" s="2">
        <v>1.6438999999999999</v>
      </c>
    </row>
    <row r="165" spans="4:24" x14ac:dyDescent="0.2">
      <c r="D165" s="1">
        <v>145</v>
      </c>
      <c r="E165" s="2">
        <v>3.9064000000000001</v>
      </c>
      <c r="F165" s="2">
        <v>3.0585</v>
      </c>
      <c r="G165" s="2">
        <v>2.6669999999999998</v>
      </c>
      <c r="H165" s="2">
        <v>2.4340999999999999</v>
      </c>
      <c r="I165" s="2">
        <v>2.2766000000000002</v>
      </c>
      <c r="J165" s="2">
        <v>2.1617000000000002</v>
      </c>
      <c r="K165" s="2">
        <v>2.0733000000000001</v>
      </c>
      <c r="L165" s="2">
        <v>2.0028000000000001</v>
      </c>
      <c r="M165" s="2">
        <v>1.9450000000000001</v>
      </c>
      <c r="N165" s="2">
        <v>1.8965000000000001</v>
      </c>
      <c r="O165" s="2">
        <v>1.8552</v>
      </c>
      <c r="P165" s="2">
        <v>1.8194999999999999</v>
      </c>
      <c r="Q165" s="2">
        <v>1.7882</v>
      </c>
      <c r="R165" s="2">
        <v>1.7605</v>
      </c>
      <c r="S165" s="2">
        <v>1.7359</v>
      </c>
      <c r="T165" s="2">
        <v>1.7137</v>
      </c>
      <c r="U165" s="2">
        <v>1.6936</v>
      </c>
      <c r="V165" s="2">
        <v>1.6754</v>
      </c>
      <c r="W165" s="2">
        <v>1.6587000000000001</v>
      </c>
      <c r="X165" s="2">
        <v>1.6434</v>
      </c>
    </row>
    <row r="166" spans="4:24" x14ac:dyDescent="0.2">
      <c r="D166" s="1">
        <v>146</v>
      </c>
      <c r="E166" s="2">
        <v>3.9060000000000001</v>
      </c>
      <c r="F166" s="2">
        <v>3.0581</v>
      </c>
      <c r="G166" s="2">
        <v>2.6665999999999999</v>
      </c>
      <c r="H166" s="2">
        <v>2.4337</v>
      </c>
      <c r="I166" s="2">
        <v>2.2761999999999998</v>
      </c>
      <c r="J166" s="2">
        <v>2.1612</v>
      </c>
      <c r="K166" s="2">
        <v>2.0728</v>
      </c>
      <c r="L166" s="2">
        <v>2.0024000000000002</v>
      </c>
      <c r="M166" s="2">
        <v>1.9444999999999999</v>
      </c>
      <c r="N166" s="2">
        <v>1.8960999999999999</v>
      </c>
      <c r="O166" s="2">
        <v>1.8548</v>
      </c>
      <c r="P166" s="2">
        <v>1.819</v>
      </c>
      <c r="Q166" s="2">
        <v>1.7877000000000001</v>
      </c>
      <c r="R166" s="2">
        <v>1.7601</v>
      </c>
      <c r="S166" s="2">
        <v>1.7354000000000001</v>
      </c>
      <c r="T166" s="2">
        <v>1.7132000000000001</v>
      </c>
      <c r="U166" s="2">
        <v>1.6932</v>
      </c>
      <c r="V166" s="2">
        <v>1.6749000000000001</v>
      </c>
      <c r="W166" s="2">
        <v>1.6581999999999999</v>
      </c>
      <c r="X166" s="2">
        <v>1.6429</v>
      </c>
    </row>
    <row r="167" spans="4:24" x14ac:dyDescent="0.2">
      <c r="D167" s="1">
        <v>147</v>
      </c>
      <c r="E167" s="2">
        <v>3.9055</v>
      </c>
      <c r="F167" s="2">
        <v>3.0575999999999999</v>
      </c>
      <c r="G167" s="2">
        <v>2.6661999999999999</v>
      </c>
      <c r="H167" s="2">
        <v>2.4331999999999998</v>
      </c>
      <c r="I167" s="2">
        <v>2.2757999999999998</v>
      </c>
      <c r="J167" s="2">
        <v>2.1608000000000001</v>
      </c>
      <c r="K167" s="2">
        <v>2.0724</v>
      </c>
      <c r="L167" s="2">
        <v>2.0019</v>
      </c>
      <c r="M167" s="2">
        <v>1.9440999999999999</v>
      </c>
      <c r="N167" s="2">
        <v>1.8956</v>
      </c>
      <c r="O167" s="2">
        <v>1.8543000000000001</v>
      </c>
      <c r="P167" s="2">
        <v>1.8186</v>
      </c>
      <c r="Q167" s="2">
        <v>1.7873000000000001</v>
      </c>
      <c r="R167" s="2">
        <v>1.7596000000000001</v>
      </c>
      <c r="S167" s="2">
        <v>1.7349000000000001</v>
      </c>
      <c r="T167" s="2">
        <v>1.7126999999999999</v>
      </c>
      <c r="U167" s="2">
        <v>1.6927000000000001</v>
      </c>
      <c r="V167" s="2">
        <v>1.6744000000000001</v>
      </c>
      <c r="W167" s="2">
        <v>1.6577999999999999</v>
      </c>
      <c r="X167" s="2">
        <v>1.6424000000000001</v>
      </c>
    </row>
    <row r="168" spans="4:24" x14ac:dyDescent="0.2">
      <c r="D168" s="1">
        <v>148</v>
      </c>
      <c r="E168" s="2">
        <v>3.9051</v>
      </c>
      <c r="F168" s="2">
        <v>3.0571999999999999</v>
      </c>
      <c r="G168" s="2">
        <v>2.6657000000000002</v>
      </c>
      <c r="H168" s="2">
        <v>2.4327999999999999</v>
      </c>
      <c r="I168" s="2">
        <v>2.2753000000000001</v>
      </c>
      <c r="J168" s="2">
        <v>2.1604000000000001</v>
      </c>
      <c r="K168" s="2">
        <v>2.0720000000000001</v>
      </c>
      <c r="L168" s="2">
        <v>2.0015000000000001</v>
      </c>
      <c r="M168" s="2">
        <v>1.9437</v>
      </c>
      <c r="N168" s="2">
        <v>1.8952</v>
      </c>
      <c r="O168" s="2">
        <v>1.8539000000000001</v>
      </c>
      <c r="P168" s="2">
        <v>1.8181</v>
      </c>
      <c r="Q168" s="2">
        <v>1.7867999999999999</v>
      </c>
      <c r="R168" s="2">
        <v>1.7591000000000001</v>
      </c>
      <c r="S168" s="2">
        <v>1.7343999999999999</v>
      </c>
      <c r="T168" s="2">
        <v>1.7122999999999999</v>
      </c>
      <c r="U168" s="2">
        <v>1.6921999999999999</v>
      </c>
      <c r="V168" s="2">
        <v>1.6738999999999999</v>
      </c>
      <c r="W168" s="2">
        <v>1.6573</v>
      </c>
      <c r="X168" s="2">
        <v>1.6418999999999999</v>
      </c>
    </row>
    <row r="169" spans="4:24" x14ac:dyDescent="0.2">
      <c r="D169" s="1">
        <v>149</v>
      </c>
      <c r="E169" s="2">
        <v>3.9045999999999998</v>
      </c>
      <c r="F169" s="2">
        <v>3.0568</v>
      </c>
      <c r="G169" s="2">
        <v>2.6652999999999998</v>
      </c>
      <c r="H169" s="2">
        <v>2.4323999999999999</v>
      </c>
      <c r="I169" s="2">
        <v>2.2749000000000001</v>
      </c>
      <c r="J169" s="2">
        <v>2.1598999999999999</v>
      </c>
      <c r="K169" s="2">
        <v>2.0716000000000001</v>
      </c>
      <c r="L169" s="2">
        <v>2.0011000000000001</v>
      </c>
      <c r="M169" s="2">
        <v>1.9432</v>
      </c>
      <c r="N169" s="2">
        <v>1.8947000000000001</v>
      </c>
      <c r="O169" s="2">
        <v>1.8533999999999999</v>
      </c>
      <c r="P169" s="2">
        <v>1.8177000000000001</v>
      </c>
      <c r="Q169" s="2">
        <v>1.7864</v>
      </c>
      <c r="R169" s="2">
        <v>1.7586999999999999</v>
      </c>
      <c r="S169" s="2">
        <v>1.734</v>
      </c>
      <c r="T169" s="2">
        <v>1.7118</v>
      </c>
      <c r="U169" s="2">
        <v>1.6917</v>
      </c>
      <c r="V169" s="2">
        <v>1.6735</v>
      </c>
      <c r="W169" s="2">
        <v>1.6568000000000001</v>
      </c>
      <c r="X169" s="2">
        <v>1.6414</v>
      </c>
    </row>
    <row r="170" spans="4:24" x14ac:dyDescent="0.2">
      <c r="D170" s="1">
        <v>150</v>
      </c>
      <c r="E170" s="2">
        <v>3.9041999999999999</v>
      </c>
      <c r="F170" s="2">
        <v>3.0564</v>
      </c>
      <c r="G170" s="2">
        <v>2.6648999999999998</v>
      </c>
      <c r="H170" s="2">
        <v>2.4319000000000002</v>
      </c>
      <c r="I170" s="2">
        <v>2.2745000000000002</v>
      </c>
      <c r="J170" s="2">
        <v>2.1595</v>
      </c>
      <c r="K170" s="2">
        <v>2.0710999999999999</v>
      </c>
      <c r="L170" s="2">
        <v>2.0005999999999999</v>
      </c>
      <c r="M170" s="2">
        <v>1.9428000000000001</v>
      </c>
      <c r="N170" s="2">
        <v>1.8943000000000001</v>
      </c>
      <c r="O170" s="2">
        <v>1.853</v>
      </c>
      <c r="P170" s="2">
        <v>1.8171999999999999</v>
      </c>
      <c r="Q170" s="2">
        <v>1.7859</v>
      </c>
      <c r="R170" s="2">
        <v>1.7582</v>
      </c>
      <c r="S170" s="2">
        <v>1.7335</v>
      </c>
      <c r="T170" s="2">
        <v>1.7113</v>
      </c>
      <c r="U170" s="2">
        <v>1.6913</v>
      </c>
      <c r="V170" s="2">
        <v>1.673</v>
      </c>
      <c r="W170" s="2">
        <v>1.6563000000000001</v>
      </c>
      <c r="X170" s="2">
        <v>1.641</v>
      </c>
    </row>
    <row r="171" spans="4:24" x14ac:dyDescent="0.2">
      <c r="D171" s="1">
        <v>151</v>
      </c>
      <c r="E171" s="2">
        <v>3.9037999999999999</v>
      </c>
      <c r="F171" s="2">
        <v>3.056</v>
      </c>
      <c r="G171" s="2">
        <v>2.6644999999999999</v>
      </c>
      <c r="H171" s="2">
        <v>2.4315000000000002</v>
      </c>
      <c r="I171" s="2">
        <v>2.2740999999999998</v>
      </c>
      <c r="J171" s="2">
        <v>2.1591</v>
      </c>
      <c r="K171" s="2">
        <v>2.0707</v>
      </c>
      <c r="L171" s="2">
        <v>2.0002</v>
      </c>
      <c r="M171" s="2">
        <v>1.9423999999999999</v>
      </c>
      <c r="N171" s="2">
        <v>1.8938999999999999</v>
      </c>
      <c r="O171" s="2">
        <v>1.8526</v>
      </c>
      <c r="P171" s="2">
        <v>1.8168</v>
      </c>
      <c r="Q171" s="2">
        <v>1.7855000000000001</v>
      </c>
      <c r="R171" s="2">
        <v>1.7578</v>
      </c>
      <c r="S171" s="2">
        <v>1.7331000000000001</v>
      </c>
      <c r="T171" s="2">
        <v>1.7109000000000001</v>
      </c>
      <c r="U171" s="2">
        <v>1.6908000000000001</v>
      </c>
      <c r="V171" s="2">
        <v>1.6726000000000001</v>
      </c>
      <c r="W171" s="2">
        <v>1.6557999999999999</v>
      </c>
      <c r="X171" s="2">
        <v>1.6405000000000001</v>
      </c>
    </row>
    <row r="172" spans="4:24" x14ac:dyDescent="0.2">
      <c r="D172" s="1">
        <v>152</v>
      </c>
      <c r="E172" s="2">
        <v>3.9033000000000002</v>
      </c>
      <c r="F172" s="2">
        <v>3.0554999999999999</v>
      </c>
      <c r="G172" s="2">
        <v>2.6640999999999999</v>
      </c>
      <c r="H172" s="2">
        <v>2.4312</v>
      </c>
      <c r="I172" s="2">
        <v>2.2736999999999998</v>
      </c>
      <c r="J172" s="2">
        <v>2.1587000000000001</v>
      </c>
      <c r="K172" s="2">
        <v>2.0703</v>
      </c>
      <c r="L172" s="2">
        <v>1.9998</v>
      </c>
      <c r="M172" s="2">
        <v>1.9419999999999999</v>
      </c>
      <c r="N172" s="2">
        <v>1.8935</v>
      </c>
      <c r="O172" s="2">
        <v>1.8521000000000001</v>
      </c>
      <c r="P172" s="2">
        <v>1.8163</v>
      </c>
      <c r="Q172" s="2">
        <v>1.7849999999999999</v>
      </c>
      <c r="R172" s="2">
        <v>1.7573000000000001</v>
      </c>
      <c r="S172" s="2">
        <v>1.7325999999999999</v>
      </c>
      <c r="T172" s="2">
        <v>1.7103999999999999</v>
      </c>
      <c r="U172" s="2">
        <v>1.6903999999999999</v>
      </c>
      <c r="V172" s="2">
        <v>1.6720999999999999</v>
      </c>
      <c r="W172" s="2">
        <v>1.6554</v>
      </c>
      <c r="X172" s="2">
        <v>1.64</v>
      </c>
    </row>
    <row r="173" spans="4:24" x14ac:dyDescent="0.2">
      <c r="D173" s="1">
        <v>153</v>
      </c>
      <c r="E173" s="2">
        <v>3.903</v>
      </c>
      <c r="F173" s="2">
        <v>3.0552000000000001</v>
      </c>
      <c r="G173" s="2">
        <v>2.6637</v>
      </c>
      <c r="H173" s="2">
        <v>2.4308000000000001</v>
      </c>
      <c r="I173" s="2">
        <v>2.2732999999999999</v>
      </c>
      <c r="J173" s="2">
        <v>2.1583000000000001</v>
      </c>
      <c r="K173" s="2">
        <v>2.0699000000000001</v>
      </c>
      <c r="L173" s="2">
        <v>1.9994000000000001</v>
      </c>
      <c r="M173" s="2">
        <v>1.9416</v>
      </c>
      <c r="N173" s="2">
        <v>1.8931</v>
      </c>
      <c r="O173" s="2">
        <v>1.8516999999999999</v>
      </c>
      <c r="P173" s="2">
        <v>1.8159000000000001</v>
      </c>
      <c r="Q173" s="2">
        <v>1.7846</v>
      </c>
      <c r="R173" s="2">
        <v>1.7568999999999999</v>
      </c>
      <c r="S173" s="2">
        <v>1.7322</v>
      </c>
      <c r="T173" s="2">
        <v>1.71</v>
      </c>
      <c r="U173" s="2">
        <v>1.6899</v>
      </c>
      <c r="V173" s="2">
        <v>1.6717</v>
      </c>
      <c r="W173" s="2">
        <v>1.6549</v>
      </c>
      <c r="X173" s="2">
        <v>1.6395999999999999</v>
      </c>
    </row>
    <row r="174" spans="4:24" x14ac:dyDescent="0.2">
      <c r="D174" s="1">
        <v>154</v>
      </c>
      <c r="E174" s="2">
        <v>3.9026000000000001</v>
      </c>
      <c r="F174" s="2">
        <v>3.0548000000000002</v>
      </c>
      <c r="G174" s="2">
        <v>2.6634000000000002</v>
      </c>
      <c r="H174" s="2">
        <v>2.4304000000000001</v>
      </c>
      <c r="I174" s="2">
        <v>2.2728999999999999</v>
      </c>
      <c r="J174" s="2">
        <v>2.1579000000000002</v>
      </c>
      <c r="K174" s="2">
        <v>2.0695000000000001</v>
      </c>
      <c r="L174" s="2">
        <v>1.9990000000000001</v>
      </c>
      <c r="M174" s="2">
        <v>1.9412</v>
      </c>
      <c r="N174" s="2">
        <v>1.8926000000000001</v>
      </c>
      <c r="O174" s="2">
        <v>1.8512999999999999</v>
      </c>
      <c r="P174" s="2">
        <v>1.8154999999999999</v>
      </c>
      <c r="Q174" s="2">
        <v>1.7842</v>
      </c>
      <c r="R174" s="2">
        <v>1.7565</v>
      </c>
      <c r="S174" s="2">
        <v>1.7318</v>
      </c>
      <c r="T174" s="2">
        <v>1.7096</v>
      </c>
      <c r="U174" s="2">
        <v>1.6895</v>
      </c>
      <c r="V174" s="2">
        <v>1.6712</v>
      </c>
      <c r="W174" s="2">
        <v>1.6545000000000001</v>
      </c>
      <c r="X174" s="2">
        <v>1.6391</v>
      </c>
    </row>
    <row r="175" spans="4:24" x14ac:dyDescent="0.2">
      <c r="D175" s="1">
        <v>155</v>
      </c>
      <c r="E175" s="2">
        <v>3.9020999999999999</v>
      </c>
      <c r="F175" s="2">
        <v>3.0543999999999998</v>
      </c>
      <c r="G175" s="2">
        <v>2.6629</v>
      </c>
      <c r="H175" s="2">
        <v>2.4300000000000002</v>
      </c>
      <c r="I175" s="2">
        <v>2.2725</v>
      </c>
      <c r="J175" s="2">
        <v>2.1575000000000002</v>
      </c>
      <c r="K175" s="2">
        <v>2.0691000000000002</v>
      </c>
      <c r="L175" s="2">
        <v>1.9985999999999999</v>
      </c>
      <c r="M175" s="2">
        <v>1.9407000000000001</v>
      </c>
      <c r="N175" s="2">
        <v>1.8923000000000001</v>
      </c>
      <c r="O175" s="2">
        <v>1.8509</v>
      </c>
      <c r="P175" s="2">
        <v>1.8150999999999999</v>
      </c>
      <c r="Q175" s="2">
        <v>1.7838000000000001</v>
      </c>
      <c r="R175" s="2">
        <v>1.7561</v>
      </c>
      <c r="S175" s="2">
        <v>1.7314000000000001</v>
      </c>
      <c r="T175" s="2">
        <v>1.7091000000000001</v>
      </c>
      <c r="U175" s="2">
        <v>1.6891</v>
      </c>
      <c r="V175" s="2">
        <v>1.6708000000000001</v>
      </c>
      <c r="W175" s="2">
        <v>1.6539999999999999</v>
      </c>
      <c r="X175" s="2">
        <v>1.6387</v>
      </c>
    </row>
    <row r="176" spans="4:24" x14ac:dyDescent="0.2">
      <c r="D176" s="1">
        <v>156</v>
      </c>
      <c r="E176" s="2">
        <v>3.9018000000000002</v>
      </c>
      <c r="F176" s="2">
        <v>3.0539999999999998</v>
      </c>
      <c r="G176" s="2">
        <v>2.6625999999999999</v>
      </c>
      <c r="H176" s="2">
        <v>2.4296000000000002</v>
      </c>
      <c r="I176" s="2">
        <v>2.2722000000000002</v>
      </c>
      <c r="J176" s="2">
        <v>2.1570999999999998</v>
      </c>
      <c r="K176" s="2">
        <v>2.0687000000000002</v>
      </c>
      <c r="L176" s="2">
        <v>1.9982</v>
      </c>
      <c r="M176" s="2">
        <v>1.9402999999999999</v>
      </c>
      <c r="N176" s="2">
        <v>1.8917999999999999</v>
      </c>
      <c r="O176" s="2">
        <v>1.8505</v>
      </c>
      <c r="P176" s="2">
        <v>1.8147</v>
      </c>
      <c r="Q176" s="2">
        <v>1.7834000000000001</v>
      </c>
      <c r="R176" s="2">
        <v>1.7557</v>
      </c>
      <c r="S176" s="2">
        <v>1.7309000000000001</v>
      </c>
      <c r="T176" s="2">
        <v>1.7087000000000001</v>
      </c>
      <c r="U176" s="2">
        <v>1.6886000000000001</v>
      </c>
      <c r="V176" s="2">
        <v>1.6702999999999999</v>
      </c>
      <c r="W176" s="2">
        <v>1.6536</v>
      </c>
      <c r="X176" s="2">
        <v>1.6383000000000001</v>
      </c>
    </row>
    <row r="177" spans="4:24" x14ac:dyDescent="0.2">
      <c r="D177" s="1">
        <v>157</v>
      </c>
      <c r="E177" s="2">
        <v>3.9014000000000002</v>
      </c>
      <c r="F177" s="2">
        <v>3.0537000000000001</v>
      </c>
      <c r="G177" s="2">
        <v>2.6621999999999999</v>
      </c>
      <c r="H177" s="2">
        <v>2.4293</v>
      </c>
      <c r="I177" s="2">
        <v>2.2717000000000001</v>
      </c>
      <c r="J177" s="2">
        <v>2.1568000000000001</v>
      </c>
      <c r="K177" s="2">
        <v>2.0684</v>
      </c>
      <c r="L177" s="2">
        <v>1.9978</v>
      </c>
      <c r="M177" s="2">
        <v>1.94</v>
      </c>
      <c r="N177" s="2">
        <v>1.8915</v>
      </c>
      <c r="O177" s="2">
        <v>1.8501000000000001</v>
      </c>
      <c r="P177" s="2">
        <v>1.8143</v>
      </c>
      <c r="Q177" s="2">
        <v>1.7828999999999999</v>
      </c>
      <c r="R177" s="2">
        <v>1.7552000000000001</v>
      </c>
      <c r="S177" s="2">
        <v>1.7304999999999999</v>
      </c>
      <c r="T177" s="2">
        <v>1.7082999999999999</v>
      </c>
      <c r="U177" s="2">
        <v>1.6881999999999999</v>
      </c>
      <c r="V177" s="2">
        <v>1.6698999999999999</v>
      </c>
      <c r="W177" s="2">
        <v>1.6532</v>
      </c>
      <c r="X177" s="2">
        <v>1.6377999999999999</v>
      </c>
    </row>
    <row r="178" spans="4:24" x14ac:dyDescent="0.2">
      <c r="D178" s="1">
        <v>158</v>
      </c>
      <c r="E178" s="2">
        <v>3.9009999999999998</v>
      </c>
      <c r="F178" s="2">
        <v>3.0533000000000001</v>
      </c>
      <c r="G178" s="2">
        <v>2.6617999999999999</v>
      </c>
      <c r="H178" s="2">
        <v>2.4289000000000001</v>
      </c>
      <c r="I178" s="2">
        <v>2.2713999999999999</v>
      </c>
      <c r="J178" s="2">
        <v>2.1564000000000001</v>
      </c>
      <c r="K178" s="2">
        <v>2.0680000000000001</v>
      </c>
      <c r="L178" s="2">
        <v>1.9974000000000001</v>
      </c>
      <c r="M178" s="2">
        <v>1.9396</v>
      </c>
      <c r="N178" s="2">
        <v>1.8911</v>
      </c>
      <c r="O178" s="2">
        <v>1.8496999999999999</v>
      </c>
      <c r="P178" s="2">
        <v>1.8139000000000001</v>
      </c>
      <c r="Q178" s="2">
        <v>1.7826</v>
      </c>
      <c r="R178" s="2">
        <v>1.7547999999999999</v>
      </c>
      <c r="S178" s="2">
        <v>1.7301</v>
      </c>
      <c r="T178" s="2">
        <v>1.7079</v>
      </c>
      <c r="U178" s="2">
        <v>1.6878</v>
      </c>
      <c r="V178" s="2">
        <v>1.6695</v>
      </c>
      <c r="W178" s="2">
        <v>1.6528</v>
      </c>
      <c r="X178" s="2">
        <v>1.6374</v>
      </c>
    </row>
    <row r="179" spans="4:24" x14ac:dyDescent="0.2">
      <c r="D179" s="1">
        <v>159</v>
      </c>
      <c r="E179" s="2">
        <v>3.9005999999999998</v>
      </c>
      <c r="F179" s="2">
        <v>3.0529000000000002</v>
      </c>
      <c r="G179" s="2">
        <v>2.6615000000000002</v>
      </c>
      <c r="H179" s="2">
        <v>2.4285000000000001</v>
      </c>
      <c r="I179" s="2">
        <v>2.2709999999999999</v>
      </c>
      <c r="J179" s="2">
        <v>2.1560000000000001</v>
      </c>
      <c r="K179" s="2">
        <v>2.0676000000000001</v>
      </c>
      <c r="L179" s="2">
        <v>1.9970000000000001</v>
      </c>
      <c r="M179" s="2">
        <v>1.9392</v>
      </c>
      <c r="N179" s="2">
        <v>1.8907</v>
      </c>
      <c r="O179" s="2">
        <v>1.8492999999999999</v>
      </c>
      <c r="P179" s="2">
        <v>1.8134999999999999</v>
      </c>
      <c r="Q179" s="2">
        <v>1.7822</v>
      </c>
      <c r="R179" s="2">
        <v>1.7544</v>
      </c>
      <c r="S179" s="2">
        <v>1.7297</v>
      </c>
      <c r="T179" s="2">
        <v>1.7075</v>
      </c>
      <c r="U179" s="2">
        <v>1.6874</v>
      </c>
      <c r="V179" s="2">
        <v>1.6691</v>
      </c>
      <c r="W179" s="2">
        <v>1.6524000000000001</v>
      </c>
      <c r="X179" s="2">
        <v>1.637</v>
      </c>
    </row>
    <row r="180" spans="4:24" x14ac:dyDescent="0.2">
      <c r="D180" s="1">
        <v>160</v>
      </c>
      <c r="E180" s="2">
        <v>3.9001999999999999</v>
      </c>
      <c r="F180" s="2">
        <v>3.0525000000000002</v>
      </c>
      <c r="G180" s="2">
        <v>2.6610999999999998</v>
      </c>
      <c r="H180" s="2">
        <v>2.4281999999999999</v>
      </c>
      <c r="I180" s="2">
        <v>2.2706</v>
      </c>
      <c r="J180" s="2">
        <v>2.1556000000000002</v>
      </c>
      <c r="K180" s="2">
        <v>2.0672000000000001</v>
      </c>
      <c r="L180" s="2">
        <v>1.9966999999999999</v>
      </c>
      <c r="M180" s="2">
        <v>1.9388000000000001</v>
      </c>
      <c r="N180" s="2">
        <v>1.8903000000000001</v>
      </c>
      <c r="O180" s="2">
        <v>1.8489</v>
      </c>
      <c r="P180" s="2">
        <v>1.8130999999999999</v>
      </c>
      <c r="Q180" s="2">
        <v>1.7818000000000001</v>
      </c>
      <c r="R180" s="2">
        <v>1.754</v>
      </c>
      <c r="S180" s="2">
        <v>1.7293000000000001</v>
      </c>
      <c r="T180" s="2">
        <v>1.7071000000000001</v>
      </c>
      <c r="U180" s="2">
        <v>1.6870000000000001</v>
      </c>
      <c r="V180" s="2">
        <v>1.6687000000000001</v>
      </c>
      <c r="W180" s="2">
        <v>1.6518999999999999</v>
      </c>
      <c r="X180" s="2">
        <v>1.6366000000000001</v>
      </c>
    </row>
    <row r="181" spans="4:24" x14ac:dyDescent="0.2">
      <c r="D181" s="1" t="s">
        <v>15</v>
      </c>
      <c r="E181" s="1">
        <v>1</v>
      </c>
      <c r="F181" s="1">
        <v>2</v>
      </c>
      <c r="G181" s="1">
        <v>3</v>
      </c>
      <c r="H181" s="1">
        <v>4</v>
      </c>
      <c r="I181" s="1">
        <v>5</v>
      </c>
      <c r="J181" s="1">
        <v>6</v>
      </c>
      <c r="K181" s="1">
        <v>7</v>
      </c>
      <c r="L181" s="1">
        <v>8</v>
      </c>
      <c r="M181" s="1">
        <v>9</v>
      </c>
      <c r="N181" s="1">
        <v>10</v>
      </c>
      <c r="O181" s="1">
        <v>11</v>
      </c>
      <c r="P181" s="1">
        <v>12</v>
      </c>
      <c r="Q181" s="1">
        <v>13</v>
      </c>
      <c r="R181" s="1">
        <v>14</v>
      </c>
      <c r="S181" s="1">
        <v>15</v>
      </c>
      <c r="T181" s="1">
        <v>16</v>
      </c>
      <c r="U181" s="1">
        <v>17</v>
      </c>
      <c r="V181" s="1">
        <v>18</v>
      </c>
      <c r="W181" s="1">
        <v>19</v>
      </c>
      <c r="X181" s="1">
        <v>20</v>
      </c>
    </row>
    <row r="182" spans="4:24" x14ac:dyDescent="0.2">
      <c r="D182" s="1" t="s">
        <v>16</v>
      </c>
      <c r="E182" s="1" t="s">
        <v>17</v>
      </c>
      <c r="F182" s="1"/>
      <c r="G182" s="1"/>
      <c r="H182" s="1"/>
      <c r="I182" s="1"/>
      <c r="J182" s="1"/>
      <c r="K182" s="1"/>
      <c r="L182" s="1"/>
      <c r="M182" s="1"/>
      <c r="N182" s="1"/>
      <c r="O182" s="1"/>
      <c r="P182" s="1"/>
      <c r="Q182" s="1"/>
      <c r="R182" s="1"/>
      <c r="S182" s="1"/>
      <c r="T182" s="1"/>
      <c r="U182" s="1"/>
      <c r="V182" s="1"/>
      <c r="W182" s="1"/>
      <c r="X182" s="1"/>
    </row>
    <row r="183" spans="4:24" x14ac:dyDescent="0.2">
      <c r="D183" s="1">
        <v>161</v>
      </c>
      <c r="E183" s="2">
        <v>3.8997999999999999</v>
      </c>
      <c r="F183" s="2">
        <v>3.0522</v>
      </c>
      <c r="G183" s="2">
        <v>2.6606999999999998</v>
      </c>
      <c r="H183" s="2">
        <v>2.4278</v>
      </c>
      <c r="I183" s="2">
        <v>2.2703000000000002</v>
      </c>
      <c r="J183" s="2">
        <v>2.1553</v>
      </c>
      <c r="K183" s="2">
        <v>2.0669</v>
      </c>
      <c r="L183" s="2">
        <v>1.9963</v>
      </c>
      <c r="M183" s="2">
        <v>1.9384999999999999</v>
      </c>
      <c r="N183" s="2">
        <v>1.8898999999999999</v>
      </c>
      <c r="O183" s="2">
        <v>1.8485</v>
      </c>
      <c r="P183" s="2">
        <v>1.8127</v>
      </c>
      <c r="Q183" s="2">
        <v>1.7814000000000001</v>
      </c>
      <c r="R183" s="2">
        <v>1.7537</v>
      </c>
      <c r="S183" s="2">
        <v>1.7289000000000001</v>
      </c>
      <c r="T183" s="2">
        <v>1.7067000000000001</v>
      </c>
      <c r="U183" s="2">
        <v>1.6866000000000001</v>
      </c>
      <c r="V183" s="2">
        <v>1.6682999999999999</v>
      </c>
      <c r="W183" s="2">
        <v>1.6515</v>
      </c>
      <c r="X183" s="2">
        <v>1.6361000000000001</v>
      </c>
    </row>
    <row r="184" spans="4:24" x14ac:dyDescent="0.2">
      <c r="D184" s="1">
        <v>162</v>
      </c>
      <c r="E184" s="2">
        <v>3.8995000000000002</v>
      </c>
      <c r="F184" s="2">
        <v>3.0518000000000001</v>
      </c>
      <c r="G184" s="2">
        <v>2.6604000000000001</v>
      </c>
      <c r="H184" s="2">
        <v>2.4275000000000002</v>
      </c>
      <c r="I184" s="2">
        <v>2.27</v>
      </c>
      <c r="J184" s="2">
        <v>2.1549999999999998</v>
      </c>
      <c r="K184" s="2">
        <v>2.0665</v>
      </c>
      <c r="L184" s="2">
        <v>1.9959</v>
      </c>
      <c r="M184" s="2">
        <v>1.9380999999999999</v>
      </c>
      <c r="N184" s="2">
        <v>1.8895</v>
      </c>
      <c r="O184" s="2">
        <v>1.8482000000000001</v>
      </c>
      <c r="P184" s="2">
        <v>1.8124</v>
      </c>
      <c r="Q184" s="2">
        <v>1.7809999999999999</v>
      </c>
      <c r="R184" s="2">
        <v>1.7533000000000001</v>
      </c>
      <c r="S184" s="2">
        <v>1.7284999999999999</v>
      </c>
      <c r="T184" s="2">
        <v>1.7062999999999999</v>
      </c>
      <c r="U184" s="2">
        <v>1.6861999999999999</v>
      </c>
      <c r="V184" s="2">
        <v>1.6678999999999999</v>
      </c>
      <c r="W184" s="2">
        <v>1.6511</v>
      </c>
      <c r="X184" s="2">
        <v>1.6356999999999999</v>
      </c>
    </row>
    <row r="185" spans="4:24" x14ac:dyDescent="0.2">
      <c r="D185" s="1">
        <v>163</v>
      </c>
      <c r="E185" s="2">
        <v>3.8990999999999998</v>
      </c>
      <c r="F185" s="2">
        <v>3.0514999999999999</v>
      </c>
      <c r="G185" s="2">
        <v>2.6600999999999999</v>
      </c>
      <c r="H185" s="2">
        <v>2.4270999999999998</v>
      </c>
      <c r="I185" s="2">
        <v>2.2696000000000001</v>
      </c>
      <c r="J185" s="2">
        <v>2.1545999999999998</v>
      </c>
      <c r="K185" s="2">
        <v>2.0661999999999998</v>
      </c>
      <c r="L185" s="2">
        <v>1.9956</v>
      </c>
      <c r="M185" s="2">
        <v>1.9377</v>
      </c>
      <c r="N185" s="2">
        <v>1.8892</v>
      </c>
      <c r="O185" s="2">
        <v>1.8478000000000001</v>
      </c>
      <c r="P185" s="2">
        <v>1.8120000000000001</v>
      </c>
      <c r="Q185" s="2">
        <v>1.7806</v>
      </c>
      <c r="R185" s="2">
        <v>1.7528999999999999</v>
      </c>
      <c r="S185" s="2">
        <v>1.7282</v>
      </c>
      <c r="T185" s="2">
        <v>1.7059</v>
      </c>
      <c r="U185" s="2">
        <v>1.6858</v>
      </c>
      <c r="V185" s="2">
        <v>1.6675</v>
      </c>
      <c r="W185" s="2">
        <v>1.6507000000000001</v>
      </c>
      <c r="X185" s="2">
        <v>1.6353</v>
      </c>
    </row>
    <row r="186" spans="4:24" x14ac:dyDescent="0.2">
      <c r="D186" s="1">
        <v>164</v>
      </c>
      <c r="E186" s="2">
        <v>3.8986999999999998</v>
      </c>
      <c r="F186" s="2">
        <v>3.0512000000000001</v>
      </c>
      <c r="G186" s="2">
        <v>2.6597</v>
      </c>
      <c r="H186" s="2">
        <v>2.4268000000000001</v>
      </c>
      <c r="I186" s="2">
        <v>2.2692999999999999</v>
      </c>
      <c r="J186" s="2">
        <v>2.1541999999999999</v>
      </c>
      <c r="K186" s="2">
        <v>2.0657999999999999</v>
      </c>
      <c r="L186" s="2">
        <v>1.9953000000000001</v>
      </c>
      <c r="M186" s="2">
        <v>1.9374</v>
      </c>
      <c r="N186" s="2">
        <v>1.8888</v>
      </c>
      <c r="O186" s="2">
        <v>1.8473999999999999</v>
      </c>
      <c r="P186" s="2">
        <v>1.8116000000000001</v>
      </c>
      <c r="Q186" s="2">
        <v>1.7803</v>
      </c>
      <c r="R186" s="2">
        <v>1.7524999999999999</v>
      </c>
      <c r="S186" s="2">
        <v>1.7278</v>
      </c>
      <c r="T186" s="2">
        <v>1.7055</v>
      </c>
      <c r="U186" s="2">
        <v>1.6854</v>
      </c>
      <c r="V186" s="2">
        <v>1.6671</v>
      </c>
      <c r="W186" s="2">
        <v>1.6503000000000001</v>
      </c>
      <c r="X186" s="2">
        <v>1.6349</v>
      </c>
    </row>
    <row r="187" spans="4:24" x14ac:dyDescent="0.2">
      <c r="D187" s="1">
        <v>165</v>
      </c>
      <c r="E187" s="2">
        <v>3.8984999999999999</v>
      </c>
      <c r="F187" s="2">
        <v>3.0508000000000002</v>
      </c>
      <c r="G187" s="2">
        <v>2.6594000000000002</v>
      </c>
      <c r="H187" s="2">
        <v>2.4264000000000001</v>
      </c>
      <c r="I187" s="2">
        <v>2.2688999999999999</v>
      </c>
      <c r="J187" s="2">
        <v>2.1539000000000001</v>
      </c>
      <c r="K187" s="2">
        <v>2.0655000000000001</v>
      </c>
      <c r="L187" s="2">
        <v>1.9948999999999999</v>
      </c>
      <c r="M187" s="2">
        <v>1.9370000000000001</v>
      </c>
      <c r="N187" s="2">
        <v>1.8885000000000001</v>
      </c>
      <c r="O187" s="2">
        <v>1.8471</v>
      </c>
      <c r="P187" s="2">
        <v>1.8111999999999999</v>
      </c>
      <c r="Q187" s="2">
        <v>1.7799</v>
      </c>
      <c r="R187" s="2">
        <v>1.7522</v>
      </c>
      <c r="S187" s="2">
        <v>1.7274</v>
      </c>
      <c r="T187" s="2">
        <v>1.7052</v>
      </c>
      <c r="U187" s="2">
        <v>1.6850000000000001</v>
      </c>
      <c r="V187" s="2">
        <v>1.6667000000000001</v>
      </c>
      <c r="W187" s="2">
        <v>1.6498999999999999</v>
      </c>
      <c r="X187" s="2">
        <v>1.6345000000000001</v>
      </c>
    </row>
    <row r="188" spans="4:24" x14ac:dyDescent="0.2">
      <c r="D188" s="1">
        <v>166</v>
      </c>
      <c r="E188" s="2">
        <v>3.8980999999999999</v>
      </c>
      <c r="F188" s="2">
        <v>3.0505</v>
      </c>
      <c r="G188" s="2">
        <v>2.6591</v>
      </c>
      <c r="H188" s="2">
        <v>2.4260999999999999</v>
      </c>
      <c r="I188" s="2">
        <v>2.2686000000000002</v>
      </c>
      <c r="J188" s="2">
        <v>2.1536</v>
      </c>
      <c r="K188" s="2">
        <v>2.0651000000000002</v>
      </c>
      <c r="L188" s="2">
        <v>1.9944999999999999</v>
      </c>
      <c r="M188" s="2">
        <v>1.9367000000000001</v>
      </c>
      <c r="N188" s="2">
        <v>1.8880999999999999</v>
      </c>
      <c r="O188" s="2">
        <v>1.8467</v>
      </c>
      <c r="P188" s="2">
        <v>1.8109</v>
      </c>
      <c r="Q188" s="2">
        <v>1.7795000000000001</v>
      </c>
      <c r="R188" s="2">
        <v>1.7518</v>
      </c>
      <c r="S188" s="2">
        <v>1.7270000000000001</v>
      </c>
      <c r="T188" s="2">
        <v>1.7048000000000001</v>
      </c>
      <c r="U188" s="2">
        <v>1.6846000000000001</v>
      </c>
      <c r="V188" s="2">
        <v>1.6662999999999999</v>
      </c>
      <c r="W188" s="2">
        <v>1.6496</v>
      </c>
      <c r="X188" s="2">
        <v>1.6341000000000001</v>
      </c>
    </row>
    <row r="189" spans="4:24" x14ac:dyDescent="0.2">
      <c r="D189" s="1">
        <v>167</v>
      </c>
      <c r="E189" s="2">
        <v>3.8976999999999999</v>
      </c>
      <c r="F189" s="2">
        <v>3.0501999999999998</v>
      </c>
      <c r="G189" s="2">
        <v>2.6587000000000001</v>
      </c>
      <c r="H189" s="2">
        <v>2.4258000000000002</v>
      </c>
      <c r="I189" s="2">
        <v>2.2683</v>
      </c>
      <c r="J189" s="2">
        <v>2.1533000000000002</v>
      </c>
      <c r="K189" s="2">
        <v>2.0648</v>
      </c>
      <c r="L189" s="2">
        <v>1.9942</v>
      </c>
      <c r="M189" s="2">
        <v>1.9362999999999999</v>
      </c>
      <c r="N189" s="2">
        <v>1.8877999999999999</v>
      </c>
      <c r="O189" s="2">
        <v>1.8464</v>
      </c>
      <c r="P189" s="2">
        <v>1.8105</v>
      </c>
      <c r="Q189" s="2">
        <v>1.7791999999999999</v>
      </c>
      <c r="R189" s="2">
        <v>1.7514000000000001</v>
      </c>
      <c r="S189" s="2">
        <v>1.7265999999999999</v>
      </c>
      <c r="T189" s="2">
        <v>1.7043999999999999</v>
      </c>
      <c r="U189" s="2">
        <v>1.6842999999999999</v>
      </c>
      <c r="V189" s="2">
        <v>1.6658999999999999</v>
      </c>
      <c r="W189" s="2">
        <v>1.6492</v>
      </c>
      <c r="X189" s="2">
        <v>1.6337999999999999</v>
      </c>
    </row>
    <row r="190" spans="4:24" x14ac:dyDescent="0.2">
      <c r="D190" s="1">
        <v>168</v>
      </c>
      <c r="E190" s="2">
        <v>3.8974000000000002</v>
      </c>
      <c r="F190" s="2">
        <v>3.0497999999999998</v>
      </c>
      <c r="G190" s="2">
        <v>2.6583999999999999</v>
      </c>
      <c r="H190" s="2">
        <v>2.4253999999999998</v>
      </c>
      <c r="I190" s="2">
        <v>2.2679999999999998</v>
      </c>
      <c r="J190" s="2">
        <v>2.1528999999999998</v>
      </c>
      <c r="K190" s="2">
        <v>2.0644999999999998</v>
      </c>
      <c r="L190" s="2">
        <v>1.9939</v>
      </c>
      <c r="M190" s="2">
        <v>1.9359999999999999</v>
      </c>
      <c r="N190" s="2">
        <v>1.8874</v>
      </c>
      <c r="O190" s="2">
        <v>1.8460000000000001</v>
      </c>
      <c r="P190" s="2">
        <v>1.8102</v>
      </c>
      <c r="Q190" s="2">
        <v>1.7787999999999999</v>
      </c>
      <c r="R190" s="2">
        <v>1.7511000000000001</v>
      </c>
      <c r="S190" s="2">
        <v>1.7262999999999999</v>
      </c>
      <c r="T190" s="2">
        <v>1.704</v>
      </c>
      <c r="U190" s="2">
        <v>1.6839</v>
      </c>
      <c r="V190" s="2">
        <v>1.6656</v>
      </c>
      <c r="W190" s="2">
        <v>1.6488</v>
      </c>
      <c r="X190" s="2">
        <v>1.6334</v>
      </c>
    </row>
    <row r="191" spans="4:24" x14ac:dyDescent="0.2">
      <c r="D191" s="1">
        <v>169</v>
      </c>
      <c r="E191" s="2">
        <v>3.8971</v>
      </c>
      <c r="F191" s="2">
        <v>3.0495000000000001</v>
      </c>
      <c r="G191" s="2">
        <v>2.6581000000000001</v>
      </c>
      <c r="H191" s="2">
        <v>2.4251</v>
      </c>
      <c r="I191" s="2">
        <v>2.2675999999999998</v>
      </c>
      <c r="J191" s="2">
        <v>2.1526000000000001</v>
      </c>
      <c r="K191" s="2">
        <v>2.0640999999999998</v>
      </c>
      <c r="L191" s="2">
        <v>1.9936</v>
      </c>
      <c r="M191" s="2">
        <v>1.9357</v>
      </c>
      <c r="N191" s="2">
        <v>1.8871</v>
      </c>
      <c r="O191" s="2">
        <v>1.8456999999999999</v>
      </c>
      <c r="P191" s="2">
        <v>1.8099000000000001</v>
      </c>
      <c r="Q191" s="2">
        <v>1.7785</v>
      </c>
      <c r="R191" s="2">
        <v>1.7506999999999999</v>
      </c>
      <c r="S191" s="2">
        <v>1.7259</v>
      </c>
      <c r="T191" s="2">
        <v>1.7037</v>
      </c>
      <c r="U191" s="2">
        <v>1.6835</v>
      </c>
      <c r="V191" s="2">
        <v>1.6652</v>
      </c>
      <c r="W191" s="2">
        <v>1.6484000000000001</v>
      </c>
      <c r="X191" s="2">
        <v>1.633</v>
      </c>
    </row>
    <row r="192" spans="4:24" x14ac:dyDescent="0.2">
      <c r="D192" s="1">
        <v>170</v>
      </c>
      <c r="E192" s="2">
        <v>3.8967000000000001</v>
      </c>
      <c r="F192" s="2">
        <v>3.0491999999999999</v>
      </c>
      <c r="G192" s="2">
        <v>2.6577999999999999</v>
      </c>
      <c r="H192" s="2">
        <v>2.4247999999999998</v>
      </c>
      <c r="I192" s="2">
        <v>2.2673000000000001</v>
      </c>
      <c r="J192" s="2">
        <v>2.1522999999999999</v>
      </c>
      <c r="K192" s="2">
        <v>2.0638000000000001</v>
      </c>
      <c r="L192" s="2">
        <v>1.9932000000000001</v>
      </c>
      <c r="M192" s="2">
        <v>1.9353</v>
      </c>
      <c r="N192" s="2">
        <v>1.8868</v>
      </c>
      <c r="O192" s="2">
        <v>1.8453999999999999</v>
      </c>
      <c r="P192" s="2">
        <v>1.8095000000000001</v>
      </c>
      <c r="Q192" s="2">
        <v>1.7781</v>
      </c>
      <c r="R192" s="2">
        <v>1.7504</v>
      </c>
      <c r="S192" s="2">
        <v>1.7256</v>
      </c>
      <c r="T192" s="2">
        <v>1.7033</v>
      </c>
      <c r="U192" s="2">
        <v>1.6832</v>
      </c>
      <c r="V192" s="2">
        <v>1.6648000000000001</v>
      </c>
      <c r="W192" s="2">
        <v>1.6480999999999999</v>
      </c>
      <c r="X192" s="2">
        <v>1.6326000000000001</v>
      </c>
    </row>
    <row r="193" spans="4:24" x14ac:dyDescent="0.2">
      <c r="D193" s="1">
        <v>171</v>
      </c>
      <c r="E193" s="2">
        <v>3.8965000000000001</v>
      </c>
      <c r="F193" s="2">
        <v>3.0488</v>
      </c>
      <c r="G193" s="2">
        <v>2.6575000000000002</v>
      </c>
      <c r="H193" s="2">
        <v>2.4245000000000001</v>
      </c>
      <c r="I193" s="2">
        <v>2.2669999999999999</v>
      </c>
      <c r="J193" s="2">
        <v>2.1520000000000001</v>
      </c>
      <c r="K193" s="2">
        <v>2.0634999999999999</v>
      </c>
      <c r="L193" s="2">
        <v>1.9928999999999999</v>
      </c>
      <c r="M193" s="2">
        <v>1.9350000000000001</v>
      </c>
      <c r="N193" s="2">
        <v>1.8864000000000001</v>
      </c>
      <c r="O193" s="2">
        <v>1.845</v>
      </c>
      <c r="P193" s="2">
        <v>1.8091999999999999</v>
      </c>
      <c r="Q193" s="2">
        <v>1.7778</v>
      </c>
      <c r="R193" s="2">
        <v>1.75</v>
      </c>
      <c r="S193" s="2">
        <v>1.7252000000000001</v>
      </c>
      <c r="T193" s="2">
        <v>1.7030000000000001</v>
      </c>
      <c r="U193" s="2">
        <v>1.6828000000000001</v>
      </c>
      <c r="V193" s="2">
        <v>1.6645000000000001</v>
      </c>
      <c r="W193" s="2">
        <v>1.6476999999999999</v>
      </c>
      <c r="X193" s="2">
        <v>1.6323000000000001</v>
      </c>
    </row>
    <row r="194" spans="4:24" x14ac:dyDescent="0.2">
      <c r="D194" s="1">
        <v>172</v>
      </c>
      <c r="E194" s="2">
        <v>3.8961000000000001</v>
      </c>
      <c r="F194" s="2">
        <v>3.0485000000000002</v>
      </c>
      <c r="G194" s="2">
        <v>2.6570999999999998</v>
      </c>
      <c r="H194" s="2">
        <v>2.4241999999999999</v>
      </c>
      <c r="I194" s="2">
        <v>2.2667000000000002</v>
      </c>
      <c r="J194" s="2">
        <v>2.1516000000000002</v>
      </c>
      <c r="K194" s="2">
        <v>2.0632000000000001</v>
      </c>
      <c r="L194" s="2">
        <v>1.9925999999999999</v>
      </c>
      <c r="M194" s="2">
        <v>1.9347000000000001</v>
      </c>
      <c r="N194" s="2">
        <v>1.8861000000000001</v>
      </c>
      <c r="O194" s="2">
        <v>1.8447</v>
      </c>
      <c r="P194" s="2">
        <v>1.8088</v>
      </c>
      <c r="Q194" s="2">
        <v>1.7774000000000001</v>
      </c>
      <c r="R194" s="2">
        <v>1.7497</v>
      </c>
      <c r="S194" s="2">
        <v>1.7249000000000001</v>
      </c>
      <c r="T194" s="2">
        <v>1.7025999999999999</v>
      </c>
      <c r="U194" s="2">
        <v>1.6825000000000001</v>
      </c>
      <c r="V194" s="2">
        <v>1.6640999999999999</v>
      </c>
      <c r="W194" s="2">
        <v>1.6473</v>
      </c>
      <c r="X194" s="2">
        <v>1.6318999999999999</v>
      </c>
    </row>
    <row r="195" spans="4:24" x14ac:dyDescent="0.2">
      <c r="D195" s="1">
        <v>173</v>
      </c>
      <c r="E195" s="2">
        <v>3.8957999999999999</v>
      </c>
      <c r="F195" s="2">
        <v>3.0482</v>
      </c>
      <c r="G195" s="2">
        <v>2.6568000000000001</v>
      </c>
      <c r="H195" s="2">
        <v>2.4239000000000002</v>
      </c>
      <c r="I195" s="2">
        <v>2.2664</v>
      </c>
      <c r="J195" s="2">
        <v>2.1513</v>
      </c>
      <c r="K195" s="2">
        <v>2.0628000000000002</v>
      </c>
      <c r="L195" s="2">
        <v>1.9923</v>
      </c>
      <c r="M195" s="2">
        <v>1.9342999999999999</v>
      </c>
      <c r="N195" s="2">
        <v>1.8857999999999999</v>
      </c>
      <c r="O195" s="2">
        <v>1.8443000000000001</v>
      </c>
      <c r="P195" s="2">
        <v>1.8085</v>
      </c>
      <c r="Q195" s="2">
        <v>1.7770999999999999</v>
      </c>
      <c r="R195" s="2">
        <v>1.7493000000000001</v>
      </c>
      <c r="S195" s="2">
        <v>1.7245999999999999</v>
      </c>
      <c r="T195" s="2">
        <v>1.7022999999999999</v>
      </c>
      <c r="U195" s="2">
        <v>1.6820999999999999</v>
      </c>
      <c r="V195" s="2">
        <v>1.6637999999999999</v>
      </c>
      <c r="W195" s="2">
        <v>1.647</v>
      </c>
      <c r="X195" s="2">
        <v>1.6315999999999999</v>
      </c>
    </row>
    <row r="196" spans="4:24" x14ac:dyDescent="0.2">
      <c r="D196" s="1">
        <v>174</v>
      </c>
      <c r="E196" s="2">
        <v>3.8954</v>
      </c>
      <c r="F196" s="2">
        <v>3.0478999999999998</v>
      </c>
      <c r="G196" s="2">
        <v>2.6566000000000001</v>
      </c>
      <c r="H196" s="2">
        <v>2.4236</v>
      </c>
      <c r="I196" s="2">
        <v>2.266</v>
      </c>
      <c r="J196" s="2">
        <v>2.1509999999999998</v>
      </c>
      <c r="K196" s="2">
        <v>2.0626000000000002</v>
      </c>
      <c r="L196" s="2">
        <v>1.9919</v>
      </c>
      <c r="M196" s="2">
        <v>1.9339999999999999</v>
      </c>
      <c r="N196" s="2">
        <v>1.8855</v>
      </c>
      <c r="O196" s="2">
        <v>1.8440000000000001</v>
      </c>
      <c r="P196" s="2">
        <v>1.8082</v>
      </c>
      <c r="Q196" s="2">
        <v>1.7767999999999999</v>
      </c>
      <c r="R196" s="2">
        <v>1.7490000000000001</v>
      </c>
      <c r="S196" s="2">
        <v>1.7242</v>
      </c>
      <c r="T196" s="2">
        <v>1.7019</v>
      </c>
      <c r="U196" s="2">
        <v>1.6818</v>
      </c>
      <c r="V196" s="2">
        <v>1.6634</v>
      </c>
      <c r="W196" s="2">
        <v>1.6466000000000001</v>
      </c>
      <c r="X196" s="2">
        <v>1.6312</v>
      </c>
    </row>
    <row r="197" spans="4:24" x14ac:dyDescent="0.2">
      <c r="D197" s="1">
        <v>175</v>
      </c>
      <c r="E197" s="2">
        <v>3.8952</v>
      </c>
      <c r="F197" s="2">
        <v>3.0476000000000001</v>
      </c>
      <c r="G197" s="2">
        <v>2.6562999999999999</v>
      </c>
      <c r="H197" s="2">
        <v>2.4232999999999998</v>
      </c>
      <c r="I197" s="2">
        <v>2.2658</v>
      </c>
      <c r="J197" s="2">
        <v>2.1507000000000001</v>
      </c>
      <c r="K197" s="2">
        <v>2.0621999999999998</v>
      </c>
      <c r="L197" s="2">
        <v>1.9916</v>
      </c>
      <c r="M197" s="2">
        <v>1.9337</v>
      </c>
      <c r="N197" s="2">
        <v>1.8852</v>
      </c>
      <c r="O197" s="2">
        <v>1.8436999999999999</v>
      </c>
      <c r="P197" s="2">
        <v>1.8078000000000001</v>
      </c>
      <c r="Q197" s="2">
        <v>1.7764</v>
      </c>
      <c r="R197" s="2">
        <v>1.7486999999999999</v>
      </c>
      <c r="S197" s="2">
        <v>1.7239</v>
      </c>
      <c r="T197" s="2">
        <v>1.7016</v>
      </c>
      <c r="U197" s="2">
        <v>1.6814</v>
      </c>
      <c r="V197" s="2">
        <v>1.6631</v>
      </c>
      <c r="W197" s="2">
        <v>1.6463000000000001</v>
      </c>
      <c r="X197" s="2">
        <v>1.6309</v>
      </c>
    </row>
    <row r="198" spans="4:24" x14ac:dyDescent="0.2">
      <c r="D198" s="1">
        <v>176</v>
      </c>
      <c r="E198" s="2">
        <v>3.8948</v>
      </c>
      <c r="F198" s="2">
        <v>3.0472999999999999</v>
      </c>
      <c r="G198" s="2">
        <v>2.6558999999999999</v>
      </c>
      <c r="H198" s="2">
        <v>2.423</v>
      </c>
      <c r="I198" s="2">
        <v>2.2654999999999998</v>
      </c>
      <c r="J198" s="2">
        <v>2.1503999999999999</v>
      </c>
      <c r="K198" s="2">
        <v>2.0619000000000001</v>
      </c>
      <c r="L198" s="2">
        <v>1.9913000000000001</v>
      </c>
      <c r="M198" s="2">
        <v>1.9334</v>
      </c>
      <c r="N198" s="2">
        <v>1.8848</v>
      </c>
      <c r="O198" s="2">
        <v>1.8433999999999999</v>
      </c>
      <c r="P198" s="2">
        <v>1.8075000000000001</v>
      </c>
      <c r="Q198" s="2">
        <v>1.7761</v>
      </c>
      <c r="R198" s="2">
        <v>1.7483</v>
      </c>
      <c r="S198" s="2">
        <v>1.7236</v>
      </c>
      <c r="T198" s="2">
        <v>1.7013</v>
      </c>
      <c r="U198" s="2">
        <v>1.6811</v>
      </c>
      <c r="V198" s="2">
        <v>1.6628000000000001</v>
      </c>
      <c r="W198" s="2">
        <v>1.6459999999999999</v>
      </c>
      <c r="X198" s="2">
        <v>1.6305000000000001</v>
      </c>
    </row>
    <row r="199" spans="4:24" x14ac:dyDescent="0.2">
      <c r="D199" s="1">
        <v>177</v>
      </c>
      <c r="E199" s="2">
        <v>3.8944999999999999</v>
      </c>
      <c r="F199" s="2">
        <v>3.0470000000000002</v>
      </c>
      <c r="G199" s="2">
        <v>2.6556000000000002</v>
      </c>
      <c r="H199" s="2">
        <v>2.4226999999999999</v>
      </c>
      <c r="I199" s="2">
        <v>2.2652000000000001</v>
      </c>
      <c r="J199" s="2">
        <v>2.1501000000000001</v>
      </c>
      <c r="K199" s="2">
        <v>2.0615999999999999</v>
      </c>
      <c r="L199" s="2">
        <v>1.9910000000000001</v>
      </c>
      <c r="M199" s="2">
        <v>1.9331</v>
      </c>
      <c r="N199" s="2">
        <v>1.8845000000000001</v>
      </c>
      <c r="O199" s="2">
        <v>1.8431</v>
      </c>
      <c r="P199" s="2">
        <v>1.8071999999999999</v>
      </c>
      <c r="Q199" s="2">
        <v>1.7758</v>
      </c>
      <c r="R199" s="2">
        <v>1.748</v>
      </c>
      <c r="S199" s="2">
        <v>1.7232000000000001</v>
      </c>
      <c r="T199" s="2">
        <v>1.7009000000000001</v>
      </c>
      <c r="U199" s="2">
        <v>1.6808000000000001</v>
      </c>
      <c r="V199" s="2">
        <v>1.6624000000000001</v>
      </c>
      <c r="W199" s="2">
        <v>1.6456</v>
      </c>
      <c r="X199" s="2">
        <v>1.6302000000000001</v>
      </c>
    </row>
    <row r="200" spans="4:24" x14ac:dyDescent="0.2">
      <c r="D200" s="1">
        <v>178</v>
      </c>
      <c r="E200" s="2">
        <v>3.8942999999999999</v>
      </c>
      <c r="F200" s="2">
        <v>3.0467</v>
      </c>
      <c r="G200" s="2">
        <v>2.6554000000000002</v>
      </c>
      <c r="H200" s="2">
        <v>2.4224000000000001</v>
      </c>
      <c r="I200" s="2">
        <v>2.2648999999999999</v>
      </c>
      <c r="J200" s="2">
        <v>2.1497999999999999</v>
      </c>
      <c r="K200" s="2">
        <v>2.0613000000000001</v>
      </c>
      <c r="L200" s="2">
        <v>1.9906999999999999</v>
      </c>
      <c r="M200" s="2">
        <v>1.9328000000000001</v>
      </c>
      <c r="N200" s="2">
        <v>1.8842000000000001</v>
      </c>
      <c r="O200" s="2">
        <v>1.8428</v>
      </c>
      <c r="P200" s="2">
        <v>1.8069</v>
      </c>
      <c r="Q200" s="2">
        <v>1.7755000000000001</v>
      </c>
      <c r="R200" s="2">
        <v>1.7477</v>
      </c>
      <c r="S200" s="2">
        <v>1.7229000000000001</v>
      </c>
      <c r="T200" s="2">
        <v>1.7005999999999999</v>
      </c>
      <c r="U200" s="2">
        <v>1.6805000000000001</v>
      </c>
      <c r="V200" s="2">
        <v>1.6620999999999999</v>
      </c>
      <c r="W200" s="2">
        <v>1.6453</v>
      </c>
      <c r="X200" s="2">
        <v>1.6297999999999999</v>
      </c>
    </row>
    <row r="201" spans="4:24" x14ac:dyDescent="0.2">
      <c r="D201" s="1">
        <v>179</v>
      </c>
      <c r="E201" s="2">
        <v>3.8938999999999999</v>
      </c>
      <c r="F201" s="2">
        <v>3.0465</v>
      </c>
      <c r="G201" s="2">
        <v>2.6551</v>
      </c>
      <c r="H201" s="2">
        <v>2.4220999999999999</v>
      </c>
      <c r="I201" s="2">
        <v>2.2646000000000002</v>
      </c>
      <c r="J201" s="2">
        <v>2.1495000000000002</v>
      </c>
      <c r="K201" s="2">
        <v>2.0611000000000002</v>
      </c>
      <c r="L201" s="2">
        <v>1.9903999999999999</v>
      </c>
      <c r="M201" s="2">
        <v>1.9325000000000001</v>
      </c>
      <c r="N201" s="2">
        <v>1.8838999999999999</v>
      </c>
      <c r="O201" s="2">
        <v>1.8425</v>
      </c>
      <c r="P201" s="2">
        <v>1.8066</v>
      </c>
      <c r="Q201" s="2">
        <v>1.7751999999999999</v>
      </c>
      <c r="R201" s="2">
        <v>1.7474000000000001</v>
      </c>
      <c r="S201" s="2">
        <v>1.7225999999999999</v>
      </c>
      <c r="T201" s="2">
        <v>1.7002999999999999</v>
      </c>
      <c r="U201" s="2">
        <v>1.6800999999999999</v>
      </c>
      <c r="V201" s="2">
        <v>1.6617999999999999</v>
      </c>
      <c r="W201" s="2">
        <v>1.645</v>
      </c>
      <c r="X201" s="2">
        <v>1.6294999999999999</v>
      </c>
    </row>
    <row r="202" spans="4:24" x14ac:dyDescent="0.2">
      <c r="D202" s="1">
        <v>180</v>
      </c>
      <c r="E202" s="2">
        <v>3.8936000000000002</v>
      </c>
      <c r="F202" s="2">
        <v>3.0461999999999998</v>
      </c>
      <c r="G202" s="2">
        <v>2.6547999999999998</v>
      </c>
      <c r="H202" s="2">
        <v>2.4218000000000002</v>
      </c>
      <c r="I202" s="2">
        <v>2.2643</v>
      </c>
      <c r="J202" s="2">
        <v>2.1492</v>
      </c>
      <c r="K202" s="2">
        <v>2.0608</v>
      </c>
      <c r="L202" s="2">
        <v>1.9901</v>
      </c>
      <c r="M202" s="2">
        <v>1.9321999999999999</v>
      </c>
      <c r="N202" s="2">
        <v>1.8835999999999999</v>
      </c>
      <c r="O202" s="2">
        <v>1.8422000000000001</v>
      </c>
      <c r="P202" s="2">
        <v>1.8063</v>
      </c>
      <c r="Q202" s="2">
        <v>1.7748999999999999</v>
      </c>
      <c r="R202" s="2">
        <v>1.7471000000000001</v>
      </c>
      <c r="S202" s="2">
        <v>1.7222999999999999</v>
      </c>
      <c r="T202" s="2">
        <v>1.7</v>
      </c>
      <c r="U202" s="2">
        <v>1.6798</v>
      </c>
      <c r="V202" s="2">
        <v>1.6614</v>
      </c>
      <c r="W202" s="2">
        <v>1.6446000000000001</v>
      </c>
      <c r="X202" s="2">
        <v>1.6292</v>
      </c>
    </row>
    <row r="203" spans="4:24" x14ac:dyDescent="0.2">
      <c r="D203" s="1" t="s">
        <v>15</v>
      </c>
      <c r="E203" s="1">
        <v>1</v>
      </c>
      <c r="F203" s="1">
        <v>2</v>
      </c>
      <c r="G203" s="1">
        <v>3</v>
      </c>
      <c r="H203" s="1">
        <v>4</v>
      </c>
      <c r="I203" s="1">
        <v>5</v>
      </c>
      <c r="J203" s="1">
        <v>6</v>
      </c>
      <c r="K203" s="1">
        <v>7</v>
      </c>
      <c r="L203" s="1">
        <v>8</v>
      </c>
      <c r="M203" s="1">
        <v>9</v>
      </c>
      <c r="N203" s="1">
        <v>10</v>
      </c>
      <c r="O203" s="1">
        <v>11</v>
      </c>
      <c r="P203" s="1">
        <v>12</v>
      </c>
      <c r="Q203" s="1">
        <v>13</v>
      </c>
      <c r="R203" s="1">
        <v>14</v>
      </c>
      <c r="S203" s="1">
        <v>15</v>
      </c>
      <c r="T203" s="1">
        <v>16</v>
      </c>
      <c r="U203" s="1">
        <v>17</v>
      </c>
      <c r="V203" s="1">
        <v>18</v>
      </c>
      <c r="W203" s="1">
        <v>19</v>
      </c>
      <c r="X203" s="1">
        <v>20</v>
      </c>
    </row>
    <row r="204" spans="4:24" x14ac:dyDescent="0.2">
      <c r="D204" s="1" t="s">
        <v>16</v>
      </c>
      <c r="E204" s="1" t="s">
        <v>17</v>
      </c>
      <c r="F204" s="1"/>
      <c r="G204" s="1"/>
      <c r="H204" s="1"/>
      <c r="I204" s="1"/>
      <c r="J204" s="1"/>
      <c r="K204" s="1"/>
      <c r="L204" s="1"/>
      <c r="M204" s="1"/>
      <c r="N204" s="1"/>
      <c r="O204" s="1"/>
      <c r="P204" s="1"/>
      <c r="Q204" s="1"/>
      <c r="R204" s="1"/>
      <c r="S204" s="1"/>
      <c r="T204" s="1"/>
      <c r="U204" s="1"/>
      <c r="V204" s="1"/>
      <c r="W204" s="1"/>
      <c r="X204" s="1"/>
    </row>
    <row r="205" spans="4:24" x14ac:dyDescent="0.2">
      <c r="D205" s="1">
        <v>181</v>
      </c>
      <c r="E205" s="2">
        <v>3.8933</v>
      </c>
      <c r="F205" s="2">
        <v>3.0457999999999998</v>
      </c>
      <c r="G205" s="2">
        <v>2.6545000000000001</v>
      </c>
      <c r="H205" s="2">
        <v>2.4216000000000002</v>
      </c>
      <c r="I205" s="2">
        <v>2.2639999999999998</v>
      </c>
      <c r="J205" s="2">
        <v>2.149</v>
      </c>
      <c r="K205" s="2">
        <v>2.0605000000000002</v>
      </c>
      <c r="L205" s="2">
        <v>1.9899</v>
      </c>
      <c r="M205" s="2">
        <v>1.9319</v>
      </c>
      <c r="N205" s="2">
        <v>1.8833</v>
      </c>
      <c r="O205" s="2">
        <v>1.8419000000000001</v>
      </c>
      <c r="P205" s="2">
        <v>1.806</v>
      </c>
      <c r="Q205" s="2">
        <v>1.7746</v>
      </c>
      <c r="R205" s="2">
        <v>1.7467999999999999</v>
      </c>
      <c r="S205" s="2">
        <v>1.7219</v>
      </c>
      <c r="T205" s="2">
        <v>1.6997</v>
      </c>
      <c r="U205" s="2">
        <v>1.6795</v>
      </c>
      <c r="V205" s="2">
        <v>1.6611</v>
      </c>
      <c r="W205" s="2">
        <v>1.6443000000000001</v>
      </c>
      <c r="X205" s="2">
        <v>1.6289</v>
      </c>
    </row>
    <row r="206" spans="4:24" x14ac:dyDescent="0.2">
      <c r="D206" s="1">
        <v>182</v>
      </c>
      <c r="E206" s="2">
        <v>3.8931</v>
      </c>
      <c r="F206" s="2">
        <v>3.0455999999999999</v>
      </c>
      <c r="G206" s="2">
        <v>2.6543000000000001</v>
      </c>
      <c r="H206" s="2">
        <v>2.4213</v>
      </c>
      <c r="I206" s="2">
        <v>2.2637999999999998</v>
      </c>
      <c r="J206" s="2">
        <v>2.1486999999999998</v>
      </c>
      <c r="K206" s="2">
        <v>2.0602</v>
      </c>
      <c r="L206" s="2">
        <v>1.9896</v>
      </c>
      <c r="M206" s="2">
        <v>1.9316</v>
      </c>
      <c r="N206" s="2">
        <v>1.883</v>
      </c>
      <c r="O206" s="2">
        <v>1.8415999999999999</v>
      </c>
      <c r="P206" s="2">
        <v>1.8057000000000001</v>
      </c>
      <c r="Q206" s="2">
        <v>1.7743</v>
      </c>
      <c r="R206" s="2">
        <v>1.7464999999999999</v>
      </c>
      <c r="S206" s="2">
        <v>1.7217</v>
      </c>
      <c r="T206" s="2">
        <v>1.6994</v>
      </c>
      <c r="U206" s="2">
        <v>1.6792</v>
      </c>
      <c r="V206" s="2">
        <v>1.6608000000000001</v>
      </c>
      <c r="W206" s="2">
        <v>1.6439999999999999</v>
      </c>
      <c r="X206" s="2">
        <v>1.6286</v>
      </c>
    </row>
    <row r="207" spans="4:24" x14ac:dyDescent="0.2">
      <c r="D207" s="1">
        <v>183</v>
      </c>
      <c r="E207" s="2">
        <v>3.8927999999999998</v>
      </c>
      <c r="F207" s="2">
        <v>3.0453000000000001</v>
      </c>
      <c r="G207" s="2">
        <v>2.6539999999999999</v>
      </c>
      <c r="H207" s="2">
        <v>2.4209999999999998</v>
      </c>
      <c r="I207" s="2">
        <v>2.2635000000000001</v>
      </c>
      <c r="J207" s="2">
        <v>2.1484000000000001</v>
      </c>
      <c r="K207" s="2">
        <v>2.0598999999999998</v>
      </c>
      <c r="L207" s="2">
        <v>1.9893000000000001</v>
      </c>
      <c r="M207" s="2">
        <v>1.9313</v>
      </c>
      <c r="N207" s="2">
        <v>1.8827</v>
      </c>
      <c r="O207" s="2">
        <v>1.8412999999999999</v>
      </c>
      <c r="P207" s="2">
        <v>1.8053999999999999</v>
      </c>
      <c r="Q207" s="2">
        <v>1.774</v>
      </c>
      <c r="R207" s="2">
        <v>1.7462</v>
      </c>
      <c r="S207" s="2">
        <v>1.7214</v>
      </c>
      <c r="T207" s="2">
        <v>1.6991000000000001</v>
      </c>
      <c r="U207" s="2">
        <v>1.6789000000000001</v>
      </c>
      <c r="V207" s="2">
        <v>1.6605000000000001</v>
      </c>
      <c r="W207" s="2">
        <v>1.6436999999999999</v>
      </c>
      <c r="X207" s="2">
        <v>1.6282000000000001</v>
      </c>
    </row>
    <row r="208" spans="4:24" x14ac:dyDescent="0.2">
      <c r="D208" s="1">
        <v>184</v>
      </c>
      <c r="E208" s="2">
        <v>3.8925000000000001</v>
      </c>
      <c r="F208" s="2">
        <v>3.0449999999999999</v>
      </c>
      <c r="G208" s="2">
        <v>2.6537000000000002</v>
      </c>
      <c r="H208" s="2">
        <v>2.4207000000000001</v>
      </c>
      <c r="I208" s="2">
        <v>2.2631999999999999</v>
      </c>
      <c r="J208" s="2">
        <v>2.1480999999999999</v>
      </c>
      <c r="K208" s="2">
        <v>2.0596000000000001</v>
      </c>
      <c r="L208" s="2">
        <v>1.9890000000000001</v>
      </c>
      <c r="M208" s="2">
        <v>1.9311</v>
      </c>
      <c r="N208" s="2">
        <v>1.8825000000000001</v>
      </c>
      <c r="O208" s="2">
        <v>1.841</v>
      </c>
      <c r="P208" s="2">
        <v>1.8050999999999999</v>
      </c>
      <c r="Q208" s="2">
        <v>1.7737000000000001</v>
      </c>
      <c r="R208" s="2">
        <v>1.7459</v>
      </c>
      <c r="S208" s="2">
        <v>1.7210000000000001</v>
      </c>
      <c r="T208" s="2">
        <v>1.6987000000000001</v>
      </c>
      <c r="U208" s="2">
        <v>1.6786000000000001</v>
      </c>
      <c r="V208" s="2">
        <v>1.6601999999999999</v>
      </c>
      <c r="W208" s="2">
        <v>1.6434</v>
      </c>
      <c r="X208" s="2">
        <v>1.6278999999999999</v>
      </c>
    </row>
    <row r="209" spans="4:24" x14ac:dyDescent="0.2">
      <c r="D209" s="1">
        <v>185</v>
      </c>
      <c r="E209" s="2">
        <v>3.8923000000000001</v>
      </c>
      <c r="F209" s="2">
        <v>3.0448</v>
      </c>
      <c r="G209" s="2">
        <v>2.6534</v>
      </c>
      <c r="H209" s="2">
        <v>2.4205000000000001</v>
      </c>
      <c r="I209" s="2">
        <v>2.2629999999999999</v>
      </c>
      <c r="J209" s="2">
        <v>2.1478999999999999</v>
      </c>
      <c r="K209" s="2">
        <v>2.0594000000000001</v>
      </c>
      <c r="L209" s="2">
        <v>1.9886999999999999</v>
      </c>
      <c r="M209" s="2">
        <v>1.9308000000000001</v>
      </c>
      <c r="N209" s="2">
        <v>1.8822000000000001</v>
      </c>
      <c r="O209" s="2">
        <v>1.8407</v>
      </c>
      <c r="P209" s="2">
        <v>1.8048</v>
      </c>
      <c r="Q209" s="2">
        <v>1.7734000000000001</v>
      </c>
      <c r="R209" s="2">
        <v>1.7456</v>
      </c>
      <c r="S209" s="2">
        <v>1.7208000000000001</v>
      </c>
      <c r="T209" s="2">
        <v>1.6983999999999999</v>
      </c>
      <c r="U209" s="2">
        <v>1.6782999999999999</v>
      </c>
      <c r="V209" s="2">
        <v>1.6598999999999999</v>
      </c>
      <c r="W209" s="2">
        <v>1.643</v>
      </c>
      <c r="X209" s="2">
        <v>1.6275999999999999</v>
      </c>
    </row>
    <row r="210" spans="4:24" x14ac:dyDescent="0.2">
      <c r="D210" s="1">
        <v>186</v>
      </c>
      <c r="E210" s="2">
        <v>3.8919999999999999</v>
      </c>
      <c r="F210" s="2">
        <v>3.0445000000000002</v>
      </c>
      <c r="G210" s="2">
        <v>2.6530999999999998</v>
      </c>
      <c r="H210" s="2">
        <v>2.4201999999999999</v>
      </c>
      <c r="I210" s="2">
        <v>2.2627000000000002</v>
      </c>
      <c r="J210" s="2">
        <v>2.1476000000000002</v>
      </c>
      <c r="K210" s="2">
        <v>2.0590999999999999</v>
      </c>
      <c r="L210" s="2">
        <v>1.9884999999999999</v>
      </c>
      <c r="M210" s="2">
        <v>1.9305000000000001</v>
      </c>
      <c r="N210" s="2">
        <v>1.8818999999999999</v>
      </c>
      <c r="O210" s="2">
        <v>1.8404</v>
      </c>
      <c r="P210" s="2">
        <v>1.8045</v>
      </c>
      <c r="Q210" s="2">
        <v>1.7730999999999999</v>
      </c>
      <c r="R210" s="2">
        <v>1.7453000000000001</v>
      </c>
      <c r="S210" s="2">
        <v>1.7204999999999999</v>
      </c>
      <c r="T210" s="2">
        <v>1.6980999999999999</v>
      </c>
      <c r="U210" s="2">
        <v>1.6779999999999999</v>
      </c>
      <c r="V210" s="2">
        <v>1.6596</v>
      </c>
      <c r="W210" s="2">
        <v>1.6428</v>
      </c>
      <c r="X210" s="2">
        <v>1.6273</v>
      </c>
    </row>
    <row r="211" spans="4:24" x14ac:dyDescent="0.2">
      <c r="D211" s="1">
        <v>187</v>
      </c>
      <c r="E211" s="2">
        <v>3.8917000000000002</v>
      </c>
      <c r="F211" s="2">
        <v>3.0442</v>
      </c>
      <c r="G211" s="2">
        <v>2.6528999999999998</v>
      </c>
      <c r="H211" s="2">
        <v>2.4199000000000002</v>
      </c>
      <c r="I211" s="2">
        <v>2.2624</v>
      </c>
      <c r="J211" s="2">
        <v>2.1473</v>
      </c>
      <c r="K211" s="2">
        <v>2.0588000000000002</v>
      </c>
      <c r="L211" s="2">
        <v>1.9882</v>
      </c>
      <c r="M211" s="2">
        <v>1.9301999999999999</v>
      </c>
      <c r="N211" s="2">
        <v>1.8815999999999999</v>
      </c>
      <c r="O211" s="2">
        <v>1.8401000000000001</v>
      </c>
      <c r="P211" s="2">
        <v>1.8042</v>
      </c>
      <c r="Q211" s="2">
        <v>1.7727999999999999</v>
      </c>
      <c r="R211" s="2">
        <v>1.7450000000000001</v>
      </c>
      <c r="S211" s="2">
        <v>1.7202</v>
      </c>
      <c r="T211" s="2">
        <v>1.6979</v>
      </c>
      <c r="U211" s="2">
        <v>1.6777</v>
      </c>
      <c r="V211" s="2">
        <v>1.6593</v>
      </c>
      <c r="W211" s="2">
        <v>1.6424000000000001</v>
      </c>
      <c r="X211" s="2">
        <v>1.627</v>
      </c>
    </row>
    <row r="212" spans="4:24" x14ac:dyDescent="0.2">
      <c r="D212" s="1">
        <v>188</v>
      </c>
      <c r="E212" s="2">
        <v>3.8914</v>
      </c>
      <c r="F212" s="2">
        <v>3.044</v>
      </c>
      <c r="G212" s="2">
        <v>2.6526000000000001</v>
      </c>
      <c r="H212" s="2">
        <v>2.4197000000000002</v>
      </c>
      <c r="I212" s="2">
        <v>2.2621000000000002</v>
      </c>
      <c r="J212" s="2">
        <v>2.1471</v>
      </c>
      <c r="K212" s="2">
        <v>2.0586000000000002</v>
      </c>
      <c r="L212" s="2">
        <v>1.9879</v>
      </c>
      <c r="M212" s="2">
        <v>1.9298999999999999</v>
      </c>
      <c r="N212" s="2">
        <v>1.8814</v>
      </c>
      <c r="O212" s="2">
        <v>1.8399000000000001</v>
      </c>
      <c r="P212" s="2">
        <v>1.804</v>
      </c>
      <c r="Q212" s="2">
        <v>1.7725</v>
      </c>
      <c r="R212" s="2">
        <v>1.7446999999999999</v>
      </c>
      <c r="S212" s="2">
        <v>1.7199</v>
      </c>
      <c r="T212" s="2">
        <v>1.6976</v>
      </c>
      <c r="U212" s="2">
        <v>1.6774</v>
      </c>
      <c r="V212" s="2">
        <v>1.659</v>
      </c>
      <c r="W212" s="2">
        <v>1.6420999999999999</v>
      </c>
      <c r="X212" s="2">
        <v>1.6267</v>
      </c>
    </row>
    <row r="213" spans="4:24" x14ac:dyDescent="0.2">
      <c r="D213" s="1">
        <v>189</v>
      </c>
      <c r="E213" s="2">
        <v>3.8912</v>
      </c>
      <c r="F213" s="2">
        <v>3.0436999999999999</v>
      </c>
      <c r="G213" s="2">
        <v>2.6524000000000001</v>
      </c>
      <c r="H213" s="2">
        <v>2.4195000000000002</v>
      </c>
      <c r="I213" s="2">
        <v>2.2618999999999998</v>
      </c>
      <c r="J213" s="2">
        <v>2.1467999999999998</v>
      </c>
      <c r="K213" s="2">
        <v>2.0583</v>
      </c>
      <c r="L213" s="2">
        <v>1.9877</v>
      </c>
      <c r="M213" s="2">
        <v>1.9297</v>
      </c>
      <c r="N213" s="2">
        <v>1.8811</v>
      </c>
      <c r="O213" s="2">
        <v>1.8395999999999999</v>
      </c>
      <c r="P213" s="2">
        <v>1.8037000000000001</v>
      </c>
      <c r="Q213" s="2">
        <v>1.7722</v>
      </c>
      <c r="R213" s="2">
        <v>1.7444</v>
      </c>
      <c r="S213" s="2">
        <v>1.7196</v>
      </c>
      <c r="T213" s="2">
        <v>1.6973</v>
      </c>
      <c r="U213" s="2">
        <v>1.6771</v>
      </c>
      <c r="V213" s="2">
        <v>1.6587000000000001</v>
      </c>
      <c r="W213" s="2">
        <v>1.6417999999999999</v>
      </c>
      <c r="X213" s="2">
        <v>1.6264000000000001</v>
      </c>
    </row>
    <row r="214" spans="4:24" x14ac:dyDescent="0.2">
      <c r="D214" s="1">
        <v>190</v>
      </c>
      <c r="E214" s="2">
        <v>3.8908999999999998</v>
      </c>
      <c r="F214" s="2">
        <v>3.0434999999999999</v>
      </c>
      <c r="G214" s="2">
        <v>2.6520999999999999</v>
      </c>
      <c r="H214" s="2">
        <v>2.4192</v>
      </c>
      <c r="I214" s="2">
        <v>2.2616999999999998</v>
      </c>
      <c r="J214" s="2">
        <v>2.1465999999999998</v>
      </c>
      <c r="K214" s="2">
        <v>2.0581</v>
      </c>
      <c r="L214" s="2">
        <v>1.9874000000000001</v>
      </c>
      <c r="M214" s="2">
        <v>1.9294</v>
      </c>
      <c r="N214" s="2">
        <v>1.8808</v>
      </c>
      <c r="O214" s="2">
        <v>1.8392999999999999</v>
      </c>
      <c r="P214" s="2">
        <v>1.8033999999999999</v>
      </c>
      <c r="Q214" s="2">
        <v>1.772</v>
      </c>
      <c r="R214" s="2">
        <v>1.7441</v>
      </c>
      <c r="S214" s="2">
        <v>1.7193000000000001</v>
      </c>
      <c r="T214" s="2">
        <v>1.6970000000000001</v>
      </c>
      <c r="U214" s="2">
        <v>1.6768000000000001</v>
      </c>
      <c r="V214" s="2">
        <v>1.6584000000000001</v>
      </c>
      <c r="W214" s="2">
        <v>1.6415999999999999</v>
      </c>
      <c r="X214" s="2">
        <v>1.6261000000000001</v>
      </c>
    </row>
    <row r="215" spans="4:24" x14ac:dyDescent="0.2">
      <c r="D215" s="1">
        <v>191</v>
      </c>
      <c r="E215" s="2">
        <v>3.8906000000000001</v>
      </c>
      <c r="F215" s="2">
        <v>3.0432000000000001</v>
      </c>
      <c r="G215" s="2">
        <v>2.6518999999999999</v>
      </c>
      <c r="H215" s="2">
        <v>2.4188999999999998</v>
      </c>
      <c r="I215" s="2">
        <v>2.2614000000000001</v>
      </c>
      <c r="J215" s="2">
        <v>2.1463000000000001</v>
      </c>
      <c r="K215" s="2">
        <v>2.0577999999999999</v>
      </c>
      <c r="L215" s="2">
        <v>1.9871000000000001</v>
      </c>
      <c r="M215" s="2">
        <v>1.9292</v>
      </c>
      <c r="N215" s="2">
        <v>1.8805000000000001</v>
      </c>
      <c r="O215" s="2">
        <v>1.8391</v>
      </c>
      <c r="P215" s="2">
        <v>1.8031999999999999</v>
      </c>
      <c r="Q215" s="2">
        <v>1.7717000000000001</v>
      </c>
      <c r="R215" s="2">
        <v>1.7439</v>
      </c>
      <c r="S215" s="2">
        <v>1.7190000000000001</v>
      </c>
      <c r="T215" s="2">
        <v>1.6967000000000001</v>
      </c>
      <c r="U215" s="2">
        <v>1.6765000000000001</v>
      </c>
      <c r="V215" s="2">
        <v>1.6580999999999999</v>
      </c>
      <c r="W215" s="2">
        <v>1.6413</v>
      </c>
      <c r="X215" s="2">
        <v>1.6257999999999999</v>
      </c>
    </row>
    <row r="216" spans="4:24" x14ac:dyDescent="0.2">
      <c r="D216" s="1">
        <v>192</v>
      </c>
      <c r="E216" s="2">
        <v>3.8902999999999999</v>
      </c>
      <c r="F216" s="2">
        <v>3.0430000000000001</v>
      </c>
      <c r="G216" s="2">
        <v>2.6516000000000002</v>
      </c>
      <c r="H216" s="2">
        <v>2.4186999999999999</v>
      </c>
      <c r="I216" s="2">
        <v>2.2610999999999999</v>
      </c>
      <c r="J216" s="2">
        <v>2.1461000000000001</v>
      </c>
      <c r="K216" s="2">
        <v>2.0575000000000001</v>
      </c>
      <c r="L216" s="2">
        <v>1.9869000000000001</v>
      </c>
      <c r="M216" s="2">
        <v>1.9289000000000001</v>
      </c>
      <c r="N216" s="2">
        <v>1.8803000000000001</v>
      </c>
      <c r="O216" s="2">
        <v>1.8388</v>
      </c>
      <c r="P216" s="2">
        <v>1.8028999999999999</v>
      </c>
      <c r="Q216" s="2">
        <v>1.7714000000000001</v>
      </c>
      <c r="R216" s="2">
        <v>1.7436</v>
      </c>
      <c r="S216" s="2">
        <v>1.7188000000000001</v>
      </c>
      <c r="T216" s="2">
        <v>1.6963999999999999</v>
      </c>
      <c r="U216" s="2">
        <v>1.6761999999999999</v>
      </c>
      <c r="V216" s="2">
        <v>1.6577999999999999</v>
      </c>
      <c r="W216" s="2">
        <v>1.641</v>
      </c>
      <c r="X216" s="2">
        <v>1.6254999999999999</v>
      </c>
    </row>
    <row r="217" spans="4:24" x14ac:dyDescent="0.2">
      <c r="D217" s="1">
        <v>193</v>
      </c>
      <c r="E217" s="2">
        <v>3.8900999999999999</v>
      </c>
      <c r="F217" s="2">
        <v>3.0427</v>
      </c>
      <c r="G217" s="2">
        <v>2.6514000000000002</v>
      </c>
      <c r="H217" s="2">
        <v>2.4184000000000001</v>
      </c>
      <c r="I217" s="2">
        <v>2.2608999999999999</v>
      </c>
      <c r="J217" s="2">
        <v>2.1457999999999999</v>
      </c>
      <c r="K217" s="2">
        <v>2.0573000000000001</v>
      </c>
      <c r="L217" s="2">
        <v>1.9865999999999999</v>
      </c>
      <c r="M217" s="2">
        <v>1.9286000000000001</v>
      </c>
      <c r="N217" s="2">
        <v>1.88</v>
      </c>
      <c r="O217" s="2">
        <v>1.8385</v>
      </c>
      <c r="P217" s="2">
        <v>1.8026</v>
      </c>
      <c r="Q217" s="2">
        <v>1.7712000000000001</v>
      </c>
      <c r="R217" s="2">
        <v>1.7433000000000001</v>
      </c>
      <c r="S217" s="2">
        <v>1.7184999999999999</v>
      </c>
      <c r="T217" s="2">
        <v>1.6960999999999999</v>
      </c>
      <c r="U217" s="2">
        <v>1.6758999999999999</v>
      </c>
      <c r="V217" s="2">
        <v>1.6575</v>
      </c>
      <c r="W217" s="2">
        <v>1.6407</v>
      </c>
      <c r="X217" s="2">
        <v>1.6252</v>
      </c>
    </row>
    <row r="218" spans="4:24" x14ac:dyDescent="0.2">
      <c r="D218" s="1">
        <v>194</v>
      </c>
      <c r="E218" s="2">
        <v>3.8898999999999999</v>
      </c>
      <c r="F218" s="2">
        <v>3.0425</v>
      </c>
      <c r="G218" s="2">
        <v>2.6511999999999998</v>
      </c>
      <c r="H218" s="2">
        <v>2.4182000000000001</v>
      </c>
      <c r="I218" s="2">
        <v>2.2606000000000002</v>
      </c>
      <c r="J218" s="2">
        <v>2.1456</v>
      </c>
      <c r="K218" s="2">
        <v>2.0569999999999999</v>
      </c>
      <c r="L218" s="2">
        <v>1.9863999999999999</v>
      </c>
      <c r="M218" s="2">
        <v>1.9283999999999999</v>
      </c>
      <c r="N218" s="2">
        <v>1.8797999999999999</v>
      </c>
      <c r="O218" s="2">
        <v>1.8383</v>
      </c>
      <c r="P218" s="2">
        <v>1.8023</v>
      </c>
      <c r="Q218" s="2">
        <v>1.7708999999999999</v>
      </c>
      <c r="R218" s="2">
        <v>1.7431000000000001</v>
      </c>
      <c r="S218" s="2">
        <v>1.7181999999999999</v>
      </c>
      <c r="T218" s="2">
        <v>1.6959</v>
      </c>
      <c r="U218" s="2">
        <v>1.6757</v>
      </c>
      <c r="V218" s="2">
        <v>1.6572</v>
      </c>
      <c r="W218" s="2">
        <v>1.6404000000000001</v>
      </c>
      <c r="X218" s="2">
        <v>1.6249</v>
      </c>
    </row>
    <row r="219" spans="4:24" x14ac:dyDescent="0.2">
      <c r="D219" s="1">
        <v>195</v>
      </c>
      <c r="E219" s="2">
        <v>3.8896000000000002</v>
      </c>
      <c r="F219" s="2">
        <v>3.0421999999999998</v>
      </c>
      <c r="G219" s="2">
        <v>2.6509</v>
      </c>
      <c r="H219" s="2">
        <v>2.4180000000000001</v>
      </c>
      <c r="I219" s="2">
        <v>2.2604000000000002</v>
      </c>
      <c r="J219" s="2">
        <v>2.1453000000000002</v>
      </c>
      <c r="K219" s="2">
        <v>2.0568</v>
      </c>
      <c r="L219" s="2">
        <v>1.9861</v>
      </c>
      <c r="M219" s="2">
        <v>1.9280999999999999</v>
      </c>
      <c r="N219" s="2">
        <v>1.8794999999999999</v>
      </c>
      <c r="O219" s="2">
        <v>1.8380000000000001</v>
      </c>
      <c r="P219" s="2">
        <v>1.8021</v>
      </c>
      <c r="Q219" s="2">
        <v>1.7706</v>
      </c>
      <c r="R219" s="2">
        <v>1.7427999999999999</v>
      </c>
      <c r="S219" s="2">
        <v>1.7179</v>
      </c>
      <c r="T219" s="2">
        <v>1.6956</v>
      </c>
      <c r="U219" s="2">
        <v>1.6754</v>
      </c>
      <c r="V219" s="2">
        <v>1.657</v>
      </c>
      <c r="W219" s="2">
        <v>1.6400999999999999</v>
      </c>
      <c r="X219" s="2">
        <v>1.6247</v>
      </c>
    </row>
    <row r="220" spans="4:24" x14ac:dyDescent="0.2">
      <c r="D220" s="1">
        <v>196</v>
      </c>
      <c r="E220" s="2">
        <v>3.8893</v>
      </c>
      <c r="F220" s="2">
        <v>3.0419999999999998</v>
      </c>
      <c r="G220" s="2">
        <v>2.6507000000000001</v>
      </c>
      <c r="H220" s="2">
        <v>2.4177</v>
      </c>
      <c r="I220" s="2">
        <v>2.2602000000000002</v>
      </c>
      <c r="J220" s="2">
        <v>2.1450999999999998</v>
      </c>
      <c r="K220" s="2">
        <v>2.0566</v>
      </c>
      <c r="L220" s="2">
        <v>1.9859</v>
      </c>
      <c r="M220" s="2">
        <v>1.9278999999999999</v>
      </c>
      <c r="N220" s="2">
        <v>1.8793</v>
      </c>
      <c r="O220" s="2">
        <v>1.8376999999999999</v>
      </c>
      <c r="P220" s="2">
        <v>1.8018000000000001</v>
      </c>
      <c r="Q220" s="2">
        <v>1.7704</v>
      </c>
      <c r="R220" s="2">
        <v>1.7424999999999999</v>
      </c>
      <c r="S220" s="2">
        <v>1.7177</v>
      </c>
      <c r="T220" s="2">
        <v>1.6953</v>
      </c>
      <c r="U220" s="2">
        <v>1.6751</v>
      </c>
      <c r="V220" s="2">
        <v>1.6567000000000001</v>
      </c>
      <c r="W220" s="2">
        <v>1.6398999999999999</v>
      </c>
      <c r="X220" s="2">
        <v>1.6244000000000001</v>
      </c>
    </row>
    <row r="221" spans="4:24" x14ac:dyDescent="0.2">
      <c r="D221" s="1">
        <v>197</v>
      </c>
      <c r="E221" s="2">
        <v>3.8891</v>
      </c>
      <c r="F221" s="2">
        <v>3.0417999999999998</v>
      </c>
      <c r="G221" s="2">
        <v>2.6503999999999999</v>
      </c>
      <c r="H221" s="2">
        <v>2.4175</v>
      </c>
      <c r="I221" s="2">
        <v>2.2599999999999998</v>
      </c>
      <c r="J221" s="2">
        <v>2.1448</v>
      </c>
      <c r="K221" s="2">
        <v>2.0562999999999998</v>
      </c>
      <c r="L221" s="2">
        <v>1.9856</v>
      </c>
      <c r="M221" s="2">
        <v>1.9277</v>
      </c>
      <c r="N221" s="2">
        <v>1.879</v>
      </c>
      <c r="O221" s="2">
        <v>1.8374999999999999</v>
      </c>
      <c r="P221" s="2">
        <v>1.8016000000000001</v>
      </c>
      <c r="Q221" s="2">
        <v>1.7701</v>
      </c>
      <c r="R221" s="2">
        <v>1.7423</v>
      </c>
      <c r="S221" s="2">
        <v>1.7174</v>
      </c>
      <c r="T221" s="2">
        <v>1.6951000000000001</v>
      </c>
      <c r="U221" s="2">
        <v>1.6748000000000001</v>
      </c>
      <c r="V221" s="2">
        <v>1.6564000000000001</v>
      </c>
      <c r="W221" s="2">
        <v>1.6395999999999999</v>
      </c>
      <c r="X221" s="2">
        <v>1.6241000000000001</v>
      </c>
    </row>
    <row r="222" spans="4:24" x14ac:dyDescent="0.2">
      <c r="D222" s="1">
        <v>198</v>
      </c>
      <c r="E222" s="2">
        <v>3.8889</v>
      </c>
      <c r="F222" s="2">
        <v>3.0415000000000001</v>
      </c>
      <c r="G222" s="2">
        <v>2.6501999999999999</v>
      </c>
      <c r="H222" s="2">
        <v>2.4173</v>
      </c>
      <c r="I222" s="2">
        <v>2.2597</v>
      </c>
      <c r="J222" s="2">
        <v>2.1446000000000001</v>
      </c>
      <c r="K222" s="2">
        <v>2.0560999999999998</v>
      </c>
      <c r="L222" s="2">
        <v>1.9854000000000001</v>
      </c>
      <c r="M222" s="2">
        <v>1.9274</v>
      </c>
      <c r="N222" s="2">
        <v>1.8788</v>
      </c>
      <c r="O222" s="2">
        <v>1.8372999999999999</v>
      </c>
      <c r="P222" s="2">
        <v>1.8012999999999999</v>
      </c>
      <c r="Q222" s="2">
        <v>1.7699</v>
      </c>
      <c r="R222" s="2">
        <v>1.742</v>
      </c>
      <c r="S222" s="2">
        <v>1.7172000000000001</v>
      </c>
      <c r="T222" s="2">
        <v>1.6948000000000001</v>
      </c>
      <c r="U222" s="2">
        <v>1.6746000000000001</v>
      </c>
      <c r="V222" s="2">
        <v>1.6561999999999999</v>
      </c>
      <c r="W222" s="2">
        <v>1.6393</v>
      </c>
      <c r="X222" s="2">
        <v>1.6237999999999999</v>
      </c>
    </row>
    <row r="223" spans="4:24" x14ac:dyDescent="0.2">
      <c r="D223" s="1">
        <v>199</v>
      </c>
      <c r="E223" s="2">
        <v>3.8885999999999998</v>
      </c>
      <c r="F223" s="2">
        <v>3.0413000000000001</v>
      </c>
      <c r="G223" s="2">
        <v>2.65</v>
      </c>
      <c r="H223" s="2">
        <v>2.4169999999999998</v>
      </c>
      <c r="I223" s="2">
        <v>2.2595000000000001</v>
      </c>
      <c r="J223" s="2">
        <v>2.1444000000000001</v>
      </c>
      <c r="K223" s="2">
        <v>2.0558000000000001</v>
      </c>
      <c r="L223" s="2">
        <v>1.9852000000000001</v>
      </c>
      <c r="M223" s="2">
        <v>1.9272</v>
      </c>
      <c r="N223" s="2">
        <v>1.8785000000000001</v>
      </c>
      <c r="O223" s="2">
        <v>1.837</v>
      </c>
      <c r="P223" s="2">
        <v>1.8010999999999999</v>
      </c>
      <c r="Q223" s="2">
        <v>1.7696000000000001</v>
      </c>
      <c r="R223" s="2">
        <v>1.7418</v>
      </c>
      <c r="S223" s="2">
        <v>1.7169000000000001</v>
      </c>
      <c r="T223" s="2">
        <v>1.6946000000000001</v>
      </c>
      <c r="U223" s="2">
        <v>1.6742999999999999</v>
      </c>
      <c r="V223" s="2">
        <v>1.6558999999999999</v>
      </c>
      <c r="W223" s="2">
        <v>1.6391</v>
      </c>
      <c r="X223" s="2">
        <v>1.6235999999999999</v>
      </c>
    </row>
    <row r="224" spans="4:24" x14ac:dyDescent="0.2">
      <c r="D224" s="1">
        <v>200</v>
      </c>
      <c r="E224" s="2">
        <v>3.8883000000000001</v>
      </c>
      <c r="F224" s="2">
        <v>3.0409999999999999</v>
      </c>
      <c r="G224" s="2">
        <v>2.6497000000000002</v>
      </c>
      <c r="H224" s="2">
        <v>2.4167999999999998</v>
      </c>
      <c r="I224" s="2">
        <v>2.2591999999999999</v>
      </c>
      <c r="J224" s="2">
        <v>2.1440999999999999</v>
      </c>
      <c r="K224" s="2">
        <v>2.0556000000000001</v>
      </c>
      <c r="L224" s="2">
        <v>1.9849000000000001</v>
      </c>
      <c r="M224" s="2">
        <v>1.9269000000000001</v>
      </c>
      <c r="N224" s="2">
        <v>1.8783000000000001</v>
      </c>
      <c r="O224" s="2">
        <v>1.8368</v>
      </c>
      <c r="P224" s="2">
        <v>1.8008</v>
      </c>
      <c r="Q224" s="2">
        <v>1.7694000000000001</v>
      </c>
      <c r="R224" s="2">
        <v>1.7415</v>
      </c>
      <c r="S224" s="2">
        <v>1.7165999999999999</v>
      </c>
      <c r="T224" s="2">
        <v>1.6942999999999999</v>
      </c>
      <c r="U224" s="2">
        <v>1.6740999999999999</v>
      </c>
      <c r="V224" s="2">
        <v>1.6556999999999999</v>
      </c>
      <c r="W224" s="2">
        <v>1.6388</v>
      </c>
      <c r="X224" s="2">
        <v>1.6233</v>
      </c>
    </row>
    <row r="225" spans="4:24" x14ac:dyDescent="0.2">
      <c r="D225" s="1" t="s">
        <v>15</v>
      </c>
      <c r="E225" s="1">
        <v>1</v>
      </c>
      <c r="F225" s="1">
        <v>2</v>
      </c>
      <c r="G225" s="1">
        <v>3</v>
      </c>
      <c r="H225" s="1">
        <v>4</v>
      </c>
      <c r="I225" s="1">
        <v>5</v>
      </c>
      <c r="J225" s="1">
        <v>6</v>
      </c>
      <c r="K225" s="1">
        <v>7</v>
      </c>
      <c r="L225" s="1">
        <v>8</v>
      </c>
      <c r="M225" s="1">
        <v>9</v>
      </c>
      <c r="N225" s="1">
        <v>10</v>
      </c>
      <c r="O225" s="1">
        <v>11</v>
      </c>
      <c r="P225" s="1">
        <v>12</v>
      </c>
      <c r="Q225" s="1">
        <v>13</v>
      </c>
      <c r="R225" s="1">
        <v>14</v>
      </c>
      <c r="S225" s="1">
        <v>15</v>
      </c>
      <c r="T225" s="1">
        <v>16</v>
      </c>
      <c r="U225" s="1">
        <v>17</v>
      </c>
      <c r="V225" s="1">
        <v>18</v>
      </c>
      <c r="W225" s="1">
        <v>19</v>
      </c>
      <c r="X225" s="1">
        <v>20</v>
      </c>
    </row>
    <row r="226" spans="4:24" x14ac:dyDescent="0.2">
      <c r="D226" s="1" t="s">
        <v>16</v>
      </c>
      <c r="E226" s="1" t="s">
        <v>17</v>
      </c>
      <c r="F226" s="1"/>
      <c r="G226" s="1"/>
      <c r="H226" s="1"/>
      <c r="I226" s="1"/>
      <c r="J226" s="1"/>
      <c r="K226" s="1"/>
      <c r="L226" s="1"/>
      <c r="M226" s="1"/>
      <c r="N226" s="1"/>
      <c r="O226" s="3"/>
      <c r="P226" s="3"/>
      <c r="Q226" s="3"/>
      <c r="R226" s="3"/>
      <c r="S226" s="3"/>
      <c r="T226" s="3"/>
      <c r="U226" s="3"/>
      <c r="V226" s="3"/>
      <c r="W226" s="3"/>
      <c r="X226" s="4"/>
    </row>
  </sheetData>
  <sheetProtection algorithmName="SHA-512" hashValue="V06C5pOKh6GQRTSR/CnQyLdrLU5m7iDOYTKY5qSQDCeuwHhieHk2mge9CPLl6Nl8LAFEkUL+JVx1nMDDA0N+zg==" saltValue="IAuxpIMpP6sDRWGGVEJrmQ==" spinCount="100000" sheet="1" objects="1" scenarios="1"/>
  <customSheetViews>
    <customSheetView guid="{373B6099-BBFB-4C6F-8508-763C02BEB895}">
      <selection activeCell="C26" sqref="C26"/>
      <pageMargins left="0.7" right="0.7" top="0.75" bottom="0.75" header="0.3" footer="0.3"/>
      <headerFooter alignWithMargins="0"/>
    </customSheetView>
  </customSheetView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Entry page</vt:lpstr>
      <vt:lpstr>QC thin lift</vt:lpstr>
      <vt:lpstr>QA thin lift</vt:lpstr>
      <vt:lpstr>2</vt:lpstr>
      <vt:lpstr>Sheet2</vt:lpstr>
      <vt:lpstr>'Entry page'!Print_Area</vt:lpstr>
    </vt:vector>
  </TitlesOfParts>
  <Company>Stantec Global Technologies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gboorboor</dc:creator>
  <cp:lastModifiedBy>Jimmy Floyd</cp:lastModifiedBy>
  <cp:lastPrinted>2015-08-25T20:56:26Z</cp:lastPrinted>
  <dcterms:created xsi:type="dcterms:W3CDTF">2002-03-11T17:53:17Z</dcterms:created>
  <dcterms:modified xsi:type="dcterms:W3CDTF">2017-07-20T15:52:45Z</dcterms:modified>
</cp:coreProperties>
</file>